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15" windowWidth="15600" windowHeight="7155"/>
  </bookViews>
  <sheets>
    <sheet name="APR-16 to Mar-17" sheetId="2" r:id="rId1"/>
    <sheet name="backup data" sheetId="34" r:id="rId2"/>
    <sheet name="QCS- Y-Strainer" sheetId="33" r:id="rId3"/>
    <sheet name="QCS" sheetId="32" r:id="rId4"/>
    <sheet name="IBR CS Pipes LPO data" sheetId="31" r:id="rId5"/>
    <sheet name="QCS-IBR fittings" sheetId="30" r:id="rId6"/>
    <sheet name="QCS- IBR CS pipes" sheetId="29" r:id="rId7"/>
    <sheet name="Sheet2" sheetId="28" r:id="rId8"/>
    <sheet name="QCS- flange-fittings" sheetId="27" r:id="rId9"/>
    <sheet name="DIAPHRAGM -Crane" sheetId="26" r:id="rId10"/>
    <sheet name="QCS- MOBILE DTE-846" sheetId="25" r:id="rId11"/>
    <sheet name="QCS- BPCL HYDROL &amp; Enklo-HPCL" sheetId="24" r:id="rId12"/>
    <sheet name="QCS-Steam seperator" sheetId="23" r:id="rId13"/>
    <sheet name="QCS- Str.steel" sheetId="22" r:id="rId14"/>
    <sheet name="Mercury LPO analysis" sheetId="21" r:id="rId15"/>
    <sheet name="E-16 Estimate" sheetId="20" r:id="rId16"/>
    <sheet name="QCS-E-16A Tube Bundle" sheetId="19" r:id="rId17"/>
    <sheet name="QCS- Gate Valves (apr)" sheetId="18" r:id="rId18"/>
    <sheet name="QCS- Gate Valves" sheetId="17" r:id="rId19"/>
    <sheet name="HT &amp; LT Cables discount working" sheetId="16" r:id="rId20"/>
    <sheet name="QCS- bellowseal Globe valve" sheetId="4" r:id="rId21"/>
    <sheet name="QCS- CS Pipes" sheetId="5" r:id="rId22"/>
    <sheet name="QCS- Forge fittings (final qty)" sheetId="6" r:id="rId23"/>
    <sheet name="QCS- TF Gaskets" sheetId="7" r:id="rId24"/>
    <sheet name="QCS- plant Gaskets" sheetId="8" r:id="rId25"/>
    <sheet name="QCS- TF Nut-Bolts" sheetId="9" r:id="rId26"/>
    <sheet name="Mech.seal_EBIPL rate analysis" sheetId="10" r:id="rId27"/>
    <sheet name="PO30k24386-EBPIL rate analysis" sheetId="3" r:id="rId28"/>
    <sheet name="QCS-Shims" sheetId="11" r:id="rId29"/>
    <sheet name="E-365 plate type HEX" sheetId="13" r:id="rId30"/>
    <sheet name="QCS- pipe-flanges-fittings" sheetId="14" r:id="rId31"/>
    <sheet name="QCS- Valves" sheetId="15" r:id="rId32"/>
    <sheet name="Sheet1" sheetId="12" r:id="rId33"/>
  </sheets>
  <externalReferences>
    <externalReference r:id="rId34"/>
  </externalReferences>
  <definedNames>
    <definedName name="A" localSheetId="19">#REF!</definedName>
    <definedName name="A" localSheetId="3">#REF!</definedName>
    <definedName name="A" localSheetId="20">#REF!</definedName>
    <definedName name="A" localSheetId="11">#REF!</definedName>
    <definedName name="A" localSheetId="21">#REF!</definedName>
    <definedName name="A" localSheetId="8">#REF!</definedName>
    <definedName name="A" localSheetId="22">#REF!</definedName>
    <definedName name="A" localSheetId="18">#REF!</definedName>
    <definedName name="A" localSheetId="17">#REF!</definedName>
    <definedName name="A" localSheetId="6">#REF!</definedName>
    <definedName name="A" localSheetId="10">#REF!</definedName>
    <definedName name="A" localSheetId="30">#REF!</definedName>
    <definedName name="A" localSheetId="24">#REF!</definedName>
    <definedName name="A" localSheetId="13">#REF!</definedName>
    <definedName name="A" localSheetId="23">#REF!</definedName>
    <definedName name="A" localSheetId="25">#REF!</definedName>
    <definedName name="A" localSheetId="31">#REF!</definedName>
    <definedName name="A" localSheetId="2">#REF!</definedName>
    <definedName name="A" localSheetId="16">#REF!</definedName>
    <definedName name="A" localSheetId="5">#REF!</definedName>
    <definedName name="A" localSheetId="28">#REF!</definedName>
    <definedName name="A" localSheetId="12">#REF!</definedName>
    <definedName name="A">#REF!</definedName>
    <definedName name="b" localSheetId="19">#REF!</definedName>
    <definedName name="b" localSheetId="3">#REF!</definedName>
    <definedName name="b" localSheetId="20">#REF!</definedName>
    <definedName name="b" localSheetId="11">#REF!</definedName>
    <definedName name="b" localSheetId="21">#REF!</definedName>
    <definedName name="b" localSheetId="8">#REF!</definedName>
    <definedName name="b" localSheetId="22">#REF!</definedName>
    <definedName name="b" localSheetId="18">#REF!</definedName>
    <definedName name="b" localSheetId="17">#REF!</definedName>
    <definedName name="b" localSheetId="6">#REF!</definedName>
    <definedName name="b" localSheetId="10">#REF!</definedName>
    <definedName name="b" localSheetId="30">#REF!</definedName>
    <definedName name="b" localSheetId="24">#REF!</definedName>
    <definedName name="b" localSheetId="13">#REF!</definedName>
    <definedName name="b" localSheetId="23">#REF!</definedName>
    <definedName name="b" localSheetId="25">#REF!</definedName>
    <definedName name="b" localSheetId="31">#REF!</definedName>
    <definedName name="b" localSheetId="2">#REF!</definedName>
    <definedName name="b" localSheetId="16">#REF!</definedName>
    <definedName name="b" localSheetId="28">#REF!</definedName>
    <definedName name="b" localSheetId="12">#REF!</definedName>
    <definedName name="b">#REF!</definedName>
    <definedName name="d" localSheetId="3">#REF!</definedName>
    <definedName name="d" localSheetId="11">#REF!</definedName>
    <definedName name="d" localSheetId="21">#REF!</definedName>
    <definedName name="d" localSheetId="8">#REF!</definedName>
    <definedName name="d" localSheetId="22">#REF!</definedName>
    <definedName name="d" localSheetId="18">#REF!</definedName>
    <definedName name="d" localSheetId="17">#REF!</definedName>
    <definedName name="d" localSheetId="6">#REF!</definedName>
    <definedName name="d" localSheetId="10">#REF!</definedName>
    <definedName name="d" localSheetId="30">#REF!</definedName>
    <definedName name="d" localSheetId="24">#REF!</definedName>
    <definedName name="d" localSheetId="13">#REF!</definedName>
    <definedName name="d" localSheetId="23">#REF!</definedName>
    <definedName name="d" localSheetId="25">#REF!</definedName>
    <definedName name="d" localSheetId="31">#REF!</definedName>
    <definedName name="d" localSheetId="2">#REF!</definedName>
    <definedName name="d" localSheetId="16">#REF!</definedName>
    <definedName name="d" localSheetId="28">#REF!</definedName>
    <definedName name="d" localSheetId="12">#REF!</definedName>
    <definedName name="d">#REF!</definedName>
    <definedName name="DATA1" localSheetId="9">'DIAPHRAGM -Crane'!$A$2:$A$20</definedName>
    <definedName name="DATA1" localSheetId="3">#REF!</definedName>
    <definedName name="DATA1" localSheetId="11">#REF!</definedName>
    <definedName name="DATA1" localSheetId="10">#REF!</definedName>
    <definedName name="DATA1" localSheetId="30">#REF!</definedName>
    <definedName name="DATA1" localSheetId="13">#REF!</definedName>
    <definedName name="DATA1" localSheetId="31">#REF!</definedName>
    <definedName name="DATA1">'Mech.seal_EBIPL rate analysis'!$A$2:$A$245</definedName>
    <definedName name="DATA10" localSheetId="9">'DIAPHRAGM -Crane'!$R$2:$R$20</definedName>
    <definedName name="DATA10" localSheetId="3">#REF!</definedName>
    <definedName name="DATA10" localSheetId="11">#REF!</definedName>
    <definedName name="DATA10" localSheetId="10">#REF!</definedName>
    <definedName name="DATA10" localSheetId="30">#REF!</definedName>
    <definedName name="DATA10" localSheetId="13">#REF!</definedName>
    <definedName name="DATA10" localSheetId="31">#REF!</definedName>
    <definedName name="DATA10">'Mech.seal_EBIPL rate analysis'!$P$2:$P$245</definedName>
    <definedName name="DATA11" localSheetId="9">'DIAPHRAGM -Crane'!$S$2:$S$20</definedName>
    <definedName name="DATA11" localSheetId="3">#REF!</definedName>
    <definedName name="DATA11" localSheetId="11">#REF!</definedName>
    <definedName name="DATA11" localSheetId="10">#REF!</definedName>
    <definedName name="DATA11" localSheetId="30">#REF!</definedName>
    <definedName name="DATA11" localSheetId="13">#REF!</definedName>
    <definedName name="DATA11" localSheetId="31">#REF!</definedName>
    <definedName name="DATA11">'Mech.seal_EBIPL rate analysis'!$Q$2:$Q$245</definedName>
    <definedName name="DATA12" localSheetId="9">'DIAPHRAGM -Crane'!$T$2:$T$20</definedName>
    <definedName name="DATA12" localSheetId="3">#REF!</definedName>
    <definedName name="DATA12" localSheetId="11">#REF!</definedName>
    <definedName name="DATA12" localSheetId="10">#REF!</definedName>
    <definedName name="DATA12" localSheetId="30">#REF!</definedName>
    <definedName name="DATA12" localSheetId="13">#REF!</definedName>
    <definedName name="DATA12" localSheetId="31">#REF!</definedName>
    <definedName name="DATA12">'Mech.seal_EBIPL rate analysis'!$R$2:$R$245</definedName>
    <definedName name="DATA13" localSheetId="9">'DIAPHRAGM -Crane'!$U$2:$U$20</definedName>
    <definedName name="DATA13" localSheetId="3">#REF!</definedName>
    <definedName name="DATA13" localSheetId="11">#REF!</definedName>
    <definedName name="DATA13" localSheetId="10">#REF!</definedName>
    <definedName name="DATA13" localSheetId="30">#REF!</definedName>
    <definedName name="DATA13" localSheetId="13">#REF!</definedName>
    <definedName name="DATA13" localSheetId="31">#REF!</definedName>
    <definedName name="DATA13">'Mech.seal_EBIPL rate analysis'!$S$2:$S$245</definedName>
    <definedName name="DATA14" localSheetId="9">'DIAPHRAGM -Crane'!$V$2:$V$20</definedName>
    <definedName name="DATA14" localSheetId="3">#REF!</definedName>
    <definedName name="DATA14" localSheetId="11">#REF!</definedName>
    <definedName name="DATA14" localSheetId="10">#REF!</definedName>
    <definedName name="DATA14" localSheetId="30">#REF!</definedName>
    <definedName name="DATA14" localSheetId="13">#REF!</definedName>
    <definedName name="DATA14" localSheetId="31">#REF!</definedName>
    <definedName name="DATA14">'Mech.seal_EBIPL rate analysis'!$V$2:$V$245</definedName>
    <definedName name="DATA15" localSheetId="9">'DIAPHRAGM -Crane'!$W$2:$W$20</definedName>
    <definedName name="DATA15" localSheetId="3">#REF!</definedName>
    <definedName name="DATA15" localSheetId="11">#REF!</definedName>
    <definedName name="DATA15" localSheetId="10">#REF!</definedName>
    <definedName name="DATA15" localSheetId="30">#REF!</definedName>
    <definedName name="DATA15" localSheetId="13">#REF!</definedName>
    <definedName name="DATA15" localSheetId="31">#REF!</definedName>
    <definedName name="DATA15">'Mech.seal_EBIPL rate analysis'!$W$2:$W$245</definedName>
    <definedName name="DATA16" localSheetId="9">'DIAPHRAGM -Crane'!$X$2:$X$20</definedName>
    <definedName name="DATA16" localSheetId="3">#REF!</definedName>
    <definedName name="DATA16" localSheetId="11">#REF!</definedName>
    <definedName name="DATA16" localSheetId="10">#REF!</definedName>
    <definedName name="DATA16" localSheetId="30">#REF!</definedName>
    <definedName name="DATA16" localSheetId="13">#REF!</definedName>
    <definedName name="DATA16" localSheetId="31">#REF!</definedName>
    <definedName name="DATA16">'Mech.seal_EBIPL rate analysis'!$F$2:$F$245</definedName>
    <definedName name="DATA17" localSheetId="9">'DIAPHRAGM -Crane'!$Y$2:$Y$20</definedName>
    <definedName name="DATA17" localSheetId="29">#REF!</definedName>
    <definedName name="DATA17" localSheetId="3">#REF!</definedName>
    <definedName name="DATA17" localSheetId="11">#REF!</definedName>
    <definedName name="DATA17" localSheetId="10">#REF!</definedName>
    <definedName name="DATA17" localSheetId="30">#REF!</definedName>
    <definedName name="DATA17" localSheetId="13">#REF!</definedName>
    <definedName name="DATA17" localSheetId="31">#REF!</definedName>
    <definedName name="DATA17">'Mech.seal_EBIPL rate analysis'!$G$2:$G$245</definedName>
    <definedName name="DATA18" localSheetId="9">'DIAPHRAGM -Crane'!$Z$2:$Z$20</definedName>
    <definedName name="DATA18" localSheetId="3">#REF!</definedName>
    <definedName name="DATA18" localSheetId="11">#REF!</definedName>
    <definedName name="DATA18" localSheetId="10">#REF!</definedName>
    <definedName name="DATA18" localSheetId="30">#REF!</definedName>
    <definedName name="DATA18" localSheetId="13">#REF!</definedName>
    <definedName name="DATA18" localSheetId="31">#REF!</definedName>
    <definedName name="DATA18">'Mech.seal_EBIPL rate analysis'!$X$2:$X$245</definedName>
    <definedName name="DATA19">'DIAPHRAGM -Crane'!$AA$2:$AA$20</definedName>
    <definedName name="DATA2" localSheetId="9">'DIAPHRAGM -Crane'!$B$2:$B$20</definedName>
    <definedName name="DATA2" localSheetId="3">#REF!</definedName>
    <definedName name="DATA2" localSheetId="11">#REF!</definedName>
    <definedName name="DATA2" localSheetId="10">#REF!</definedName>
    <definedName name="DATA2" localSheetId="30">#REF!</definedName>
    <definedName name="DATA2" localSheetId="13">#REF!</definedName>
    <definedName name="DATA2" localSheetId="31">#REF!</definedName>
    <definedName name="DATA2">'Mech.seal_EBIPL rate analysis'!$B$2:$B$245</definedName>
    <definedName name="DATA20">'DIAPHRAGM -Crane'!$AB$2:$AB$20</definedName>
    <definedName name="DATA21">'DIAPHRAGM -Crane'!$AC$2:$AC$20</definedName>
    <definedName name="DATA22">'DIAPHRAGM -Crane'!$AD$2:$AD$20</definedName>
    <definedName name="DATA23">'DIAPHRAGM -Crane'!$AE$2:$AE$20</definedName>
    <definedName name="DATA24">'DIAPHRAGM -Crane'!$AF$2:$AF$20</definedName>
    <definedName name="DATA25">'DIAPHRAGM -Crane'!$AG$2:$AG$20</definedName>
    <definedName name="DATA26">'DIAPHRAGM -Crane'!$AH$2:$AH$20</definedName>
    <definedName name="DATA27">'DIAPHRAGM -Crane'!$AI$2:$AI$20</definedName>
    <definedName name="DATA28">'DIAPHRAGM -Crane'!$AJ$2:$AJ$20</definedName>
    <definedName name="DATA29">'DIAPHRAGM -Crane'!$AK$2:$AK$20</definedName>
    <definedName name="DATA3" localSheetId="9">'DIAPHRAGM -Crane'!$D$2:$D$20</definedName>
    <definedName name="DATA3" localSheetId="3">#REF!</definedName>
    <definedName name="DATA3" localSheetId="11">#REF!</definedName>
    <definedName name="DATA3" localSheetId="10">#REF!</definedName>
    <definedName name="DATA3" localSheetId="30">#REF!</definedName>
    <definedName name="DATA3" localSheetId="13">#REF!</definedName>
    <definedName name="DATA3" localSheetId="31">#REF!</definedName>
    <definedName name="DATA3">'Mech.seal_EBIPL rate analysis'!$C$2:$C$245</definedName>
    <definedName name="DATA30">'DIAPHRAGM -Crane'!$AL$2:$AL$20</definedName>
    <definedName name="DATA31">'DIAPHRAGM -Crane'!$AM$2:$AM$20</definedName>
    <definedName name="DATA32">'DIAPHRAGM -Crane'!$AN$2:$AN$20</definedName>
    <definedName name="DATA33">'DIAPHRAGM -Crane'!$AO$2:$AO$20</definedName>
    <definedName name="DATA34">'DIAPHRAGM -Crane'!$AP$2:$AP$20</definedName>
    <definedName name="DATA35">'DIAPHRAGM -Crane'!$AQ$2:$AQ$20</definedName>
    <definedName name="DATA36">'DIAPHRAGM -Crane'!$AR$2:$AR$20</definedName>
    <definedName name="DATA37">'DIAPHRAGM -Crane'!$AS$2:$AS$20</definedName>
    <definedName name="DATA38">'DIAPHRAGM -Crane'!$AT$2:$AT$20</definedName>
    <definedName name="DATA39">'DIAPHRAGM -Crane'!$AU$2:$AU$20</definedName>
    <definedName name="DATA4" localSheetId="9">'DIAPHRAGM -Crane'!$E$2:$E$20</definedName>
    <definedName name="DATA4" localSheetId="3">#REF!</definedName>
    <definedName name="DATA4" localSheetId="11">#REF!</definedName>
    <definedName name="DATA4" localSheetId="10">#REF!</definedName>
    <definedName name="DATA4" localSheetId="30">#REF!</definedName>
    <definedName name="DATA4" localSheetId="13">#REF!</definedName>
    <definedName name="DATA4" localSheetId="31">#REF!</definedName>
    <definedName name="DATA4">'Mech.seal_EBIPL rate analysis'!$T$2:$T$245</definedName>
    <definedName name="DATA40">'DIAPHRAGM -Crane'!$AV$2:$AV$20</definedName>
    <definedName name="DATA41">'DIAPHRAGM -Crane'!$AW$2:$AW$20</definedName>
    <definedName name="DATA42">'DIAPHRAGM -Crane'!$AX$2:$AX$20</definedName>
    <definedName name="DATA43">'DIAPHRAGM -Crane'!$AY$2:$AY$20</definedName>
    <definedName name="DATA44">'DIAPHRAGM -Crane'!$C$2:$C$20</definedName>
    <definedName name="DATA45">'DIAPHRAGM -Crane'!$AZ$2:$AZ$20</definedName>
    <definedName name="DATA46">'DIAPHRAGM -Crane'!$BA$2:$BA$20</definedName>
    <definedName name="DATA47">'DIAPHRAGM -Crane'!$F$2:$F$20</definedName>
    <definedName name="DATA48">'DIAPHRAGM -Crane'!$G$2:$G$20</definedName>
    <definedName name="DATA49">'DIAPHRAGM -Crane'!$H$2:$H$20</definedName>
    <definedName name="DATA5" localSheetId="9">'DIAPHRAGM -Crane'!$M$2:$M$20</definedName>
    <definedName name="DATA5" localSheetId="3">#REF!</definedName>
    <definedName name="DATA5" localSheetId="11">#REF!</definedName>
    <definedName name="DATA5" localSheetId="10">#REF!</definedName>
    <definedName name="DATA5" localSheetId="30">#REF!</definedName>
    <definedName name="DATA5" localSheetId="13">#REF!</definedName>
    <definedName name="DATA5" localSheetId="31">#REF!</definedName>
    <definedName name="DATA5">'Mech.seal_EBIPL rate analysis'!$U$2:$U$245</definedName>
    <definedName name="DATA50">'DIAPHRAGM -Crane'!$I$2:$I$20</definedName>
    <definedName name="DATA51">'DIAPHRAGM -Crane'!$J$2:$J$20</definedName>
    <definedName name="DATA52">'DIAPHRAGM -Crane'!$K$2:$K$20</definedName>
    <definedName name="DATA53">'DIAPHRAGM -Crane'!$BB$2:$BB$20</definedName>
    <definedName name="DATA54">'DIAPHRAGM -Crane'!$BC$2:$BC$20</definedName>
    <definedName name="DATA55">'DIAPHRAGM -Crane'!$BD$2:$BD$20</definedName>
    <definedName name="DATA56">'DIAPHRAGM -Crane'!$BE$2:$BE$20</definedName>
    <definedName name="DATA57">'DIAPHRAGM -Crane'!$BF$2:$BF$20</definedName>
    <definedName name="DATA58">'DIAPHRAGM -Crane'!$BG$2:$BG$20</definedName>
    <definedName name="DATA59">'DIAPHRAGM -Crane'!$BH$2:$BH$20</definedName>
    <definedName name="DATA6" localSheetId="9">'DIAPHRAGM -Crane'!$N$2:$N$20</definedName>
    <definedName name="DATA6" localSheetId="3">#REF!</definedName>
    <definedName name="DATA6" localSheetId="11">#REF!</definedName>
    <definedName name="DATA6" localSheetId="10">#REF!</definedName>
    <definedName name="DATA6" localSheetId="30">#REF!</definedName>
    <definedName name="DATA6" localSheetId="13">#REF!</definedName>
    <definedName name="DATA6" localSheetId="31">#REF!</definedName>
    <definedName name="DATA6">'Mech.seal_EBIPL rate analysis'!$D$2:$D$245</definedName>
    <definedName name="DATA60">'DIAPHRAGM -Crane'!$BI$2:$BI$20</definedName>
    <definedName name="DATA61">'DIAPHRAGM -Crane'!$BJ$2:$BJ$20</definedName>
    <definedName name="DATA62">'DIAPHRAGM -Crane'!$BK$2:$BK$20</definedName>
    <definedName name="DATA63">'DIAPHRAGM -Crane'!$BL$2:$BL$20</definedName>
    <definedName name="DATA64">'DIAPHRAGM -Crane'!$BM$2:$BM$20</definedName>
    <definedName name="DATA65">'DIAPHRAGM -Crane'!$BN$2:$BN$20</definedName>
    <definedName name="DATA66">'DIAPHRAGM -Crane'!$BO$2:$BO$20</definedName>
    <definedName name="DATA67">'DIAPHRAGM -Crane'!$BP$2:$BP$20</definedName>
    <definedName name="DATA68">'DIAPHRAGM -Crane'!$BQ$2:$BQ$20</definedName>
    <definedName name="DATA7" localSheetId="9">'DIAPHRAGM -Crane'!$O$2:$O$20</definedName>
    <definedName name="DATA7" localSheetId="3">#REF!</definedName>
    <definedName name="DATA7" localSheetId="11">#REF!</definedName>
    <definedName name="DATA7" localSheetId="10">#REF!</definedName>
    <definedName name="DATA7" localSheetId="30">#REF!</definedName>
    <definedName name="DATA7" localSheetId="13">#REF!</definedName>
    <definedName name="DATA7" localSheetId="31">#REF!</definedName>
    <definedName name="DATA7">'Mech.seal_EBIPL rate analysis'!$E$2:$E$245</definedName>
    <definedName name="DATA8" localSheetId="9">'DIAPHRAGM -Crane'!$P$2:$P$20</definedName>
    <definedName name="DATA8" localSheetId="3">#REF!</definedName>
    <definedName name="DATA8" localSheetId="11">#REF!</definedName>
    <definedName name="DATA8" localSheetId="10">#REF!</definedName>
    <definedName name="DATA8" localSheetId="30">#REF!</definedName>
    <definedName name="DATA8" localSheetId="13">#REF!</definedName>
    <definedName name="DATA8" localSheetId="31">#REF!</definedName>
    <definedName name="DATA8">'Mech.seal_EBIPL rate analysis'!$N$2:$N$245</definedName>
    <definedName name="DATA9" localSheetId="9">'DIAPHRAGM -Crane'!$Q$2:$Q$20</definedName>
    <definedName name="DATA9" localSheetId="3">#REF!</definedName>
    <definedName name="DATA9" localSheetId="11">#REF!</definedName>
    <definedName name="DATA9" localSheetId="10">#REF!</definedName>
    <definedName name="DATA9" localSheetId="30">#REF!</definedName>
    <definedName name="DATA9" localSheetId="13">#REF!</definedName>
    <definedName name="DATA9" localSheetId="31">#REF!</definedName>
    <definedName name="DATA9">'Mech.seal_EBIPL rate analysis'!$O$2:$O$245</definedName>
    <definedName name="dipan" localSheetId="3">#REF!</definedName>
    <definedName name="dipan" localSheetId="20">#REF!</definedName>
    <definedName name="dipan" localSheetId="11">#REF!</definedName>
    <definedName name="dipan" localSheetId="21">#REF!</definedName>
    <definedName name="dipan" localSheetId="8">#REF!</definedName>
    <definedName name="dipan" localSheetId="22">#REF!</definedName>
    <definedName name="dipan" localSheetId="18">#REF!</definedName>
    <definedName name="dipan" localSheetId="17">#REF!</definedName>
    <definedName name="dipan" localSheetId="6">#REF!</definedName>
    <definedName name="dipan" localSheetId="10">#REF!</definedName>
    <definedName name="dipan" localSheetId="30">#REF!</definedName>
    <definedName name="dipan" localSheetId="24">#REF!</definedName>
    <definedName name="dipan" localSheetId="13">#REF!</definedName>
    <definedName name="dipan" localSheetId="23">#REF!</definedName>
    <definedName name="dipan" localSheetId="25">#REF!</definedName>
    <definedName name="dipan" localSheetId="31">#REF!</definedName>
    <definedName name="dipan" localSheetId="2">#REF!</definedName>
    <definedName name="dipan" localSheetId="16">#REF!</definedName>
    <definedName name="dipan" localSheetId="28">#REF!</definedName>
    <definedName name="dipan" localSheetId="12">#REF!</definedName>
    <definedName name="dipan">#REF!</definedName>
    <definedName name="f" localSheetId="3">#REF!</definedName>
    <definedName name="f" localSheetId="11">#REF!</definedName>
    <definedName name="f" localSheetId="21">#REF!</definedName>
    <definedName name="f" localSheetId="8">#REF!</definedName>
    <definedName name="f" localSheetId="22">#REF!</definedName>
    <definedName name="f" localSheetId="18">#REF!</definedName>
    <definedName name="f" localSheetId="17">#REF!</definedName>
    <definedName name="f" localSheetId="6">#REF!</definedName>
    <definedName name="f" localSheetId="10">#REF!</definedName>
    <definedName name="f" localSheetId="30">#REF!</definedName>
    <definedName name="f" localSheetId="24">#REF!</definedName>
    <definedName name="f" localSheetId="13">#REF!</definedName>
    <definedName name="f" localSheetId="23">#REF!</definedName>
    <definedName name="f" localSheetId="25">#REF!</definedName>
    <definedName name="f" localSheetId="31">#REF!</definedName>
    <definedName name="f" localSheetId="2">#REF!</definedName>
    <definedName name="f" localSheetId="16">#REF!</definedName>
    <definedName name="f" localSheetId="28">#REF!</definedName>
    <definedName name="f" localSheetId="12">#REF!</definedName>
    <definedName name="f">#REF!</definedName>
    <definedName name="g" localSheetId="3">#REF!</definedName>
    <definedName name="g" localSheetId="11">#REF!</definedName>
    <definedName name="g" localSheetId="21">#REF!</definedName>
    <definedName name="g" localSheetId="8">#REF!</definedName>
    <definedName name="g" localSheetId="22">#REF!</definedName>
    <definedName name="g" localSheetId="18">#REF!</definedName>
    <definedName name="g" localSheetId="17">#REF!</definedName>
    <definedName name="g" localSheetId="6">#REF!</definedName>
    <definedName name="g" localSheetId="10">#REF!</definedName>
    <definedName name="g" localSheetId="30">#REF!</definedName>
    <definedName name="g" localSheetId="24">#REF!</definedName>
    <definedName name="g" localSheetId="13">#REF!</definedName>
    <definedName name="g" localSheetId="23">#REF!</definedName>
    <definedName name="g" localSheetId="25">#REF!</definedName>
    <definedName name="g" localSheetId="31">#REF!</definedName>
    <definedName name="g" localSheetId="2">#REF!</definedName>
    <definedName name="g" localSheetId="16">#REF!</definedName>
    <definedName name="g" localSheetId="28">#REF!</definedName>
    <definedName name="g" localSheetId="12">#REF!</definedName>
    <definedName name="g">#REF!</definedName>
    <definedName name="k" localSheetId="3">#REF!</definedName>
    <definedName name="k" localSheetId="11">#REF!</definedName>
    <definedName name="k" localSheetId="21">#REF!</definedName>
    <definedName name="k" localSheetId="8">#REF!</definedName>
    <definedName name="k" localSheetId="22">#REF!</definedName>
    <definedName name="k" localSheetId="18">#REF!</definedName>
    <definedName name="k" localSheetId="17">#REF!</definedName>
    <definedName name="k" localSheetId="6">#REF!</definedName>
    <definedName name="k" localSheetId="10">#REF!</definedName>
    <definedName name="k" localSheetId="30">#REF!</definedName>
    <definedName name="k" localSheetId="24">#REF!</definedName>
    <definedName name="k" localSheetId="13">#REF!</definedName>
    <definedName name="k" localSheetId="23">#REF!</definedName>
    <definedName name="k" localSheetId="25">#REF!</definedName>
    <definedName name="k" localSheetId="31">#REF!</definedName>
    <definedName name="k" localSheetId="2">#REF!</definedName>
    <definedName name="k" localSheetId="16">#REF!</definedName>
    <definedName name="k" localSheetId="28">#REF!</definedName>
    <definedName name="k" localSheetId="12">#REF!</definedName>
    <definedName name="k">#REF!</definedName>
    <definedName name="m" localSheetId="3">#REF!</definedName>
    <definedName name="m" localSheetId="20">#REF!</definedName>
    <definedName name="m" localSheetId="11">#REF!</definedName>
    <definedName name="m" localSheetId="21">#REF!</definedName>
    <definedName name="m" localSheetId="8">#REF!</definedName>
    <definedName name="m" localSheetId="22">#REF!</definedName>
    <definedName name="m" localSheetId="18">#REF!</definedName>
    <definedName name="m" localSheetId="17">#REF!</definedName>
    <definedName name="m" localSheetId="6">#REF!</definedName>
    <definedName name="m" localSheetId="10">#REF!</definedName>
    <definedName name="m" localSheetId="30">#REF!</definedName>
    <definedName name="m" localSheetId="24">#REF!</definedName>
    <definedName name="m" localSheetId="13">#REF!</definedName>
    <definedName name="m" localSheetId="23">#REF!</definedName>
    <definedName name="m" localSheetId="25">#REF!</definedName>
    <definedName name="m" localSheetId="31">#REF!</definedName>
    <definedName name="m" localSheetId="2">#REF!</definedName>
    <definedName name="m" localSheetId="16">#REF!</definedName>
    <definedName name="m" localSheetId="28">#REF!</definedName>
    <definedName name="m" localSheetId="12">#REF!</definedName>
    <definedName name="m">#REF!</definedName>
    <definedName name="n" localSheetId="3">#REF!</definedName>
    <definedName name="n" localSheetId="11">#REF!</definedName>
    <definedName name="n" localSheetId="21">#REF!</definedName>
    <definedName name="n" localSheetId="8">#REF!</definedName>
    <definedName name="n" localSheetId="22">#REF!</definedName>
    <definedName name="n" localSheetId="18">#REF!</definedName>
    <definedName name="n" localSheetId="17">#REF!</definedName>
    <definedName name="n" localSheetId="6">#REF!</definedName>
    <definedName name="n" localSheetId="10">#REF!</definedName>
    <definedName name="n" localSheetId="30">#REF!</definedName>
    <definedName name="n" localSheetId="24">#REF!</definedName>
    <definedName name="n" localSheetId="13">#REF!</definedName>
    <definedName name="n" localSheetId="23">#REF!</definedName>
    <definedName name="n" localSheetId="25">#REF!</definedName>
    <definedName name="n" localSheetId="31">#REF!</definedName>
    <definedName name="n" localSheetId="2">#REF!</definedName>
    <definedName name="n" localSheetId="16">#REF!</definedName>
    <definedName name="n" localSheetId="28">#REF!</definedName>
    <definedName name="n" localSheetId="12">#REF!</definedName>
    <definedName name="n">#REF!</definedName>
    <definedName name="pravin" localSheetId="3">#REF!</definedName>
    <definedName name="pravin" localSheetId="11">#REF!</definedName>
    <definedName name="pravin" localSheetId="21">#REF!</definedName>
    <definedName name="pravin" localSheetId="8">#REF!</definedName>
    <definedName name="pravin" localSheetId="22">#REF!</definedName>
    <definedName name="pravin" localSheetId="18">#REF!</definedName>
    <definedName name="pravin" localSheetId="17">#REF!</definedName>
    <definedName name="pravin" localSheetId="6">#REF!</definedName>
    <definedName name="pravin" localSheetId="10">#REF!</definedName>
    <definedName name="pravin" localSheetId="30">#REF!</definedName>
    <definedName name="pravin" localSheetId="24">#REF!</definedName>
    <definedName name="pravin" localSheetId="13">#REF!</definedName>
    <definedName name="pravin" localSheetId="23">#REF!</definedName>
    <definedName name="pravin" localSheetId="25">#REF!</definedName>
    <definedName name="pravin" localSheetId="31">#REF!</definedName>
    <definedName name="pravin" localSheetId="2">#REF!</definedName>
    <definedName name="pravin" localSheetId="16">#REF!</definedName>
    <definedName name="pravin" localSheetId="28">#REF!</definedName>
    <definedName name="pravin" localSheetId="12">#REF!</definedName>
    <definedName name="pravin">#REF!</definedName>
    <definedName name="_xlnm.Print_Area" localSheetId="26">'Mech.seal_EBIPL rate analysis'!$A$1:$L$110</definedName>
    <definedName name="_xlnm.Print_Area" localSheetId="3">QCS!$A$1:$S$53</definedName>
    <definedName name="_xlnm.Print_Area" localSheetId="20">'QCS- bellowseal Globe valve'!$A$1:$O$54</definedName>
    <definedName name="_xlnm.Print_Area" localSheetId="11">'QCS- BPCL HYDROL &amp; Enklo-HPCL'!$A$1:$M$45</definedName>
    <definedName name="_xlnm.Print_Area" localSheetId="21">'QCS- CS Pipes'!$A$1:$Q$57</definedName>
    <definedName name="_xlnm.Print_Area" localSheetId="8">'QCS- flange-fittings'!$A$1:$P$71</definedName>
    <definedName name="_xlnm.Print_Area" localSheetId="22">'QCS- Forge fittings (final qty)'!$A$1:$Q$119</definedName>
    <definedName name="_xlnm.Print_Area" localSheetId="18">'QCS- Gate Valves'!$A$1:$I$48</definedName>
    <definedName name="_xlnm.Print_Area" localSheetId="17">'QCS- Gate Valves (apr)'!$A$1:$I$52</definedName>
    <definedName name="_xlnm.Print_Area" localSheetId="6">'QCS- IBR CS pipes'!$A$1:$N$48</definedName>
    <definedName name="_xlnm.Print_Area" localSheetId="10">'QCS- MOBILE DTE-846'!$A$1:$M$43</definedName>
    <definedName name="_xlnm.Print_Area" localSheetId="30">'QCS- pipe-flanges-fittings'!$A$1:$L$50</definedName>
    <definedName name="_xlnm.Print_Area" localSheetId="24">'QCS- plant Gaskets'!$A$1:$L$48</definedName>
    <definedName name="_xlnm.Print_Area" localSheetId="13">'QCS- Str.steel'!$A$1:$N$48</definedName>
    <definedName name="_xlnm.Print_Area" localSheetId="23">'QCS- TF Gaskets'!$A$1:$L$63</definedName>
    <definedName name="_xlnm.Print_Area" localSheetId="25">'QCS- TF Nut-Bolts'!$A$1:$N$57</definedName>
    <definedName name="_xlnm.Print_Area" localSheetId="31">'QCS- Valves'!$A$1:$K$57</definedName>
    <definedName name="_xlnm.Print_Area" localSheetId="2">'QCS- Y-Strainer'!$A$1:$L$45</definedName>
    <definedName name="_xlnm.Print_Area" localSheetId="16">'QCS-E-16A Tube Bundle'!$A$1:$I$46</definedName>
    <definedName name="_xlnm.Print_Area" localSheetId="28">'QCS-Shims'!$A$1:$K$68</definedName>
    <definedName name="_xlnm.Print_Area" localSheetId="12">'QCS-Steam seperator'!$A$1:$I$46</definedName>
    <definedName name="q" localSheetId="15">#REF!</definedName>
    <definedName name="q" localSheetId="19">#REF!</definedName>
    <definedName name="q" localSheetId="3">#REF!</definedName>
    <definedName name="q" localSheetId="20">#REF!</definedName>
    <definedName name="q" localSheetId="11">#REF!</definedName>
    <definedName name="q" localSheetId="21">#REF!</definedName>
    <definedName name="q" localSheetId="8">#REF!</definedName>
    <definedName name="q" localSheetId="22">#REF!</definedName>
    <definedName name="q" localSheetId="18">#REF!</definedName>
    <definedName name="q" localSheetId="17">#REF!</definedName>
    <definedName name="q" localSheetId="6">#REF!</definedName>
    <definedName name="q" localSheetId="10">#REF!</definedName>
    <definedName name="q" localSheetId="30">#REF!</definedName>
    <definedName name="q" localSheetId="24">#REF!</definedName>
    <definedName name="q" localSheetId="13">#REF!</definedName>
    <definedName name="q" localSheetId="23">#REF!</definedName>
    <definedName name="q" localSheetId="25">#REF!</definedName>
    <definedName name="q" localSheetId="31">#REF!</definedName>
    <definedName name="q" localSheetId="2">#REF!</definedName>
    <definedName name="q" localSheetId="16">#REF!</definedName>
    <definedName name="q" localSheetId="5">#REF!</definedName>
    <definedName name="q" localSheetId="28">#REF!</definedName>
    <definedName name="q" localSheetId="12">#REF!</definedName>
    <definedName name="q">#REF!</definedName>
    <definedName name="s" localSheetId="19">#REF!</definedName>
    <definedName name="s" localSheetId="3">#REF!</definedName>
    <definedName name="s" localSheetId="20">#REF!</definedName>
    <definedName name="s" localSheetId="11">#REF!</definedName>
    <definedName name="s" localSheetId="21">#REF!</definedName>
    <definedName name="s" localSheetId="8">#REF!</definedName>
    <definedName name="s" localSheetId="22">#REF!</definedName>
    <definedName name="s" localSheetId="18">#REF!</definedName>
    <definedName name="s" localSheetId="17">#REF!</definedName>
    <definedName name="s" localSheetId="6">#REF!</definedName>
    <definedName name="s" localSheetId="10">#REF!</definedName>
    <definedName name="s" localSheetId="30">#REF!</definedName>
    <definedName name="s" localSheetId="24">#REF!</definedName>
    <definedName name="s" localSheetId="13">#REF!</definedName>
    <definedName name="s" localSheetId="23">#REF!</definedName>
    <definedName name="s" localSheetId="25">#REF!</definedName>
    <definedName name="s" localSheetId="31">#REF!</definedName>
    <definedName name="s" localSheetId="2">#REF!</definedName>
    <definedName name="s" localSheetId="16">#REF!</definedName>
    <definedName name="s" localSheetId="28">#REF!</definedName>
    <definedName name="s" localSheetId="12">#REF!</definedName>
    <definedName name="s">#REF!</definedName>
    <definedName name="TEST0" localSheetId="9">'DIAPHRAGM -Crane'!$A$2:$BQ$20</definedName>
    <definedName name="TEST0" localSheetId="3">#REF!</definedName>
    <definedName name="TEST0" localSheetId="11">#REF!</definedName>
    <definedName name="TEST0" localSheetId="10">#REF!</definedName>
    <definedName name="TEST0" localSheetId="30">#REF!</definedName>
    <definedName name="TEST0" localSheetId="13">#REF!</definedName>
    <definedName name="TEST0" localSheetId="31">#REF!</definedName>
    <definedName name="TEST0">'Mech.seal_EBIPL rate analysis'!$A$2:$X$245</definedName>
    <definedName name="TESTHKEY" localSheetId="9">'DIAPHRAGM -Crane'!$C$1:$BQ$1</definedName>
    <definedName name="TESTHKEY" localSheetId="3">#REF!</definedName>
    <definedName name="TESTHKEY" localSheetId="11">#REF!</definedName>
    <definedName name="TESTHKEY" localSheetId="10">#REF!</definedName>
    <definedName name="TESTHKEY" localSheetId="30">#REF!</definedName>
    <definedName name="TESTHKEY" localSheetId="13">#REF!</definedName>
    <definedName name="TESTHKEY" localSheetId="31">#REF!</definedName>
    <definedName name="TESTHKEY">'Mech.seal_EBIPL rate analysis'!$S$1:$X$1</definedName>
    <definedName name="TESTKEYS" localSheetId="9">'DIAPHRAGM -Crane'!$A$2:$AY$20</definedName>
    <definedName name="TESTKEYS" localSheetId="3">#REF!</definedName>
    <definedName name="TESTKEYS" localSheetId="11">#REF!</definedName>
    <definedName name="TESTKEYS" localSheetId="10">#REF!</definedName>
    <definedName name="TESTKEYS" localSheetId="30">#REF!</definedName>
    <definedName name="TESTKEYS" localSheetId="13">#REF!</definedName>
    <definedName name="TESTKEYS" localSheetId="31">#REF!</definedName>
    <definedName name="TESTKEYS">'Mech.seal_EBIPL rate analysis'!$A$2:$R$245</definedName>
    <definedName name="TESTVKEY" localSheetId="9">'DIAPHRAGM -Crane'!$A$1:$AY$1</definedName>
    <definedName name="TESTVKEY" localSheetId="3">#REF!</definedName>
    <definedName name="TESTVKEY" localSheetId="11">#REF!</definedName>
    <definedName name="TESTVKEY" localSheetId="10">#REF!</definedName>
    <definedName name="TESTVKEY" localSheetId="30">#REF!</definedName>
    <definedName name="TESTVKEY" localSheetId="13">#REF!</definedName>
    <definedName name="TESTVKEY" localSheetId="31">#REF!</definedName>
    <definedName name="TESTVKEY">'Mech.seal_EBIPL rate analysis'!$A$1:$R$1</definedName>
    <definedName name="v" localSheetId="3">#REF!</definedName>
    <definedName name="v" localSheetId="11">#REF!</definedName>
    <definedName name="v" localSheetId="21">#REF!</definedName>
    <definedName name="v" localSheetId="8">#REF!</definedName>
    <definedName name="v" localSheetId="22">#REF!</definedName>
    <definedName name="v" localSheetId="18">#REF!</definedName>
    <definedName name="v" localSheetId="17">#REF!</definedName>
    <definedName name="v" localSheetId="6">#REF!</definedName>
    <definedName name="v" localSheetId="10">#REF!</definedName>
    <definedName name="v" localSheetId="30">#REF!</definedName>
    <definedName name="v" localSheetId="24">#REF!</definedName>
    <definedName name="v" localSheetId="13">#REF!</definedName>
    <definedName name="v" localSheetId="23">#REF!</definedName>
    <definedName name="v" localSheetId="25">#REF!</definedName>
    <definedName name="v" localSheetId="31">#REF!</definedName>
    <definedName name="v" localSheetId="2">#REF!</definedName>
    <definedName name="v" localSheetId="16">#REF!</definedName>
    <definedName name="v" localSheetId="28">#REF!</definedName>
    <definedName name="v" localSheetId="12">#REF!</definedName>
    <definedName name="v">#REF!</definedName>
    <definedName name="w" localSheetId="3">#REF!</definedName>
    <definedName name="w" localSheetId="11">#REF!</definedName>
    <definedName name="w" localSheetId="21">#REF!</definedName>
    <definedName name="w" localSheetId="8">#REF!</definedName>
    <definedName name="w" localSheetId="22">#REF!</definedName>
    <definedName name="w" localSheetId="18">#REF!</definedName>
    <definedName name="w" localSheetId="17">#REF!</definedName>
    <definedName name="w" localSheetId="6">#REF!</definedName>
    <definedName name="w" localSheetId="10">#REF!</definedName>
    <definedName name="w" localSheetId="30">#REF!</definedName>
    <definedName name="w" localSheetId="24">#REF!</definedName>
    <definedName name="w" localSheetId="13">#REF!</definedName>
    <definedName name="w" localSheetId="23">#REF!</definedName>
    <definedName name="w" localSheetId="25">#REF!</definedName>
    <definedName name="w" localSheetId="31">#REF!</definedName>
    <definedName name="w" localSheetId="2">#REF!</definedName>
    <definedName name="w" localSheetId="16">#REF!</definedName>
    <definedName name="w" localSheetId="28">#REF!</definedName>
    <definedName name="w" localSheetId="12">#REF!</definedName>
    <definedName name="w">#REF!</definedName>
    <definedName name="X" localSheetId="3">#REF!</definedName>
    <definedName name="X" localSheetId="20">#REF!</definedName>
    <definedName name="X" localSheetId="11">#REF!</definedName>
    <definedName name="X" localSheetId="21">#REF!</definedName>
    <definedName name="X" localSheetId="8">#REF!</definedName>
    <definedName name="X" localSheetId="22">#REF!</definedName>
    <definedName name="X" localSheetId="18">#REF!</definedName>
    <definedName name="X" localSheetId="17">#REF!</definedName>
    <definedName name="X" localSheetId="6">#REF!</definedName>
    <definedName name="X" localSheetId="10">#REF!</definedName>
    <definedName name="X" localSheetId="30">#REF!</definedName>
    <definedName name="X" localSheetId="24">#REF!</definedName>
    <definedName name="X" localSheetId="13">#REF!</definedName>
    <definedName name="X" localSheetId="23">#REF!</definedName>
    <definedName name="X" localSheetId="25">#REF!</definedName>
    <definedName name="X" localSheetId="31">#REF!</definedName>
    <definedName name="X" localSheetId="2">#REF!</definedName>
    <definedName name="X" localSheetId="16">#REF!</definedName>
    <definedName name="X" localSheetId="28">#REF!</definedName>
    <definedName name="X" localSheetId="12">#REF!</definedName>
    <definedName name="X">#REF!</definedName>
    <definedName name="y" localSheetId="3">#REF!</definedName>
    <definedName name="y" localSheetId="11">#REF!</definedName>
    <definedName name="y" localSheetId="21">#REF!</definedName>
    <definedName name="y" localSheetId="8">#REF!</definedName>
    <definedName name="y" localSheetId="22">#REF!</definedName>
    <definedName name="y" localSheetId="18">#REF!</definedName>
    <definedName name="y" localSheetId="17">#REF!</definedName>
    <definedName name="y" localSheetId="6">#REF!</definedName>
    <definedName name="y" localSheetId="10">#REF!</definedName>
    <definedName name="y" localSheetId="30">#REF!</definedName>
    <definedName name="y" localSheetId="24">#REF!</definedName>
    <definedName name="y" localSheetId="13">#REF!</definedName>
    <definedName name="y" localSheetId="23">#REF!</definedName>
    <definedName name="y" localSheetId="25">#REF!</definedName>
    <definedName name="y" localSheetId="31">#REF!</definedName>
    <definedName name="y" localSheetId="2">#REF!</definedName>
    <definedName name="y" localSheetId="16">#REF!</definedName>
    <definedName name="y" localSheetId="28">#REF!</definedName>
    <definedName name="y" localSheetId="12">#REF!</definedName>
    <definedName name="y">#REF!</definedName>
    <definedName name="yz" localSheetId="3">#REF!</definedName>
    <definedName name="yz" localSheetId="11">#REF!</definedName>
    <definedName name="yz" localSheetId="21">#REF!</definedName>
    <definedName name="yz" localSheetId="8">#REF!</definedName>
    <definedName name="yz" localSheetId="22">#REF!</definedName>
    <definedName name="yz" localSheetId="18">#REF!</definedName>
    <definedName name="yz" localSheetId="17">#REF!</definedName>
    <definedName name="yz" localSheetId="6">#REF!</definedName>
    <definedName name="yz" localSheetId="10">#REF!</definedName>
    <definedName name="yz" localSheetId="30">#REF!</definedName>
    <definedName name="yz" localSheetId="24">#REF!</definedName>
    <definedName name="yz" localSheetId="13">#REF!</definedName>
    <definedName name="yz" localSheetId="23">#REF!</definedName>
    <definedName name="yz" localSheetId="25">#REF!</definedName>
    <definedName name="yz" localSheetId="31">#REF!</definedName>
    <definedName name="yz" localSheetId="2">#REF!</definedName>
    <definedName name="yz" localSheetId="16">#REF!</definedName>
    <definedName name="yz" localSheetId="28">#REF!</definedName>
    <definedName name="yz" localSheetId="12">#REF!</definedName>
    <definedName name="yz">#REF!</definedName>
    <definedName name="z" localSheetId="3">#REF!</definedName>
    <definedName name="z" localSheetId="20">#REF!</definedName>
    <definedName name="z" localSheetId="11">#REF!</definedName>
    <definedName name="z" localSheetId="21">#REF!</definedName>
    <definedName name="z" localSheetId="8">#REF!</definedName>
    <definedName name="z" localSheetId="22">#REF!</definedName>
    <definedName name="z" localSheetId="18">#REF!</definedName>
    <definedName name="z" localSheetId="17">#REF!</definedName>
    <definedName name="z" localSheetId="6">#REF!</definedName>
    <definedName name="z" localSheetId="10">#REF!</definedName>
    <definedName name="z" localSheetId="30">#REF!</definedName>
    <definedName name="z" localSheetId="24">#REF!</definedName>
    <definedName name="z" localSheetId="13">#REF!</definedName>
    <definedName name="z" localSheetId="23">#REF!</definedName>
    <definedName name="z" localSheetId="25">#REF!</definedName>
    <definedName name="z" localSheetId="31">#REF!</definedName>
    <definedName name="z" localSheetId="2">#REF!</definedName>
    <definedName name="z" localSheetId="16">#REF!</definedName>
    <definedName name="z" localSheetId="28">#REF!</definedName>
    <definedName name="z" localSheetId="12">#REF!</definedName>
    <definedName name="z">#REF!</definedName>
  </definedNames>
  <calcPr calcId="145621"/>
</workbook>
</file>

<file path=xl/calcChain.xml><?xml version="1.0" encoding="utf-8"?>
<calcChain xmlns="http://schemas.openxmlformats.org/spreadsheetml/2006/main">
  <c r="G82" i="2" l="1"/>
  <c r="H82" i="2"/>
  <c r="H81" i="2"/>
  <c r="G81" i="2"/>
  <c r="K27" i="33"/>
  <c r="G27" i="33"/>
  <c r="M16" i="33"/>
  <c r="M31" i="33" s="1"/>
  <c r="K16" i="33"/>
  <c r="K21" i="33" s="1"/>
  <c r="J16" i="33"/>
  <c r="I16" i="33"/>
  <c r="I21" i="33" s="1"/>
  <c r="G16" i="33"/>
  <c r="G21" i="33" s="1"/>
  <c r="F16" i="33"/>
  <c r="C16" i="33"/>
  <c r="N14" i="33"/>
  <c r="L14" i="33"/>
  <c r="H14" i="33"/>
  <c r="N13" i="33"/>
  <c r="N16" i="33" s="1"/>
  <c r="L13" i="33"/>
  <c r="L16" i="33" s="1"/>
  <c r="H13" i="33"/>
  <c r="H16" i="33" s="1"/>
  <c r="H4" i="33"/>
  <c r="K25" i="33" l="1"/>
  <c r="K31" i="33" s="1"/>
  <c r="K23" i="33"/>
  <c r="K29" i="33" s="1"/>
  <c r="H21" i="33"/>
  <c r="H27" i="33"/>
  <c r="G25" i="33"/>
  <c r="G31" i="33" s="1"/>
  <c r="G23" i="33"/>
  <c r="G29" i="33"/>
  <c r="L21" i="33"/>
  <c r="L27" i="33"/>
  <c r="I23" i="33"/>
  <c r="I25" i="33"/>
  <c r="N31" i="33"/>
  <c r="N27" i="33"/>
  <c r="N21" i="33"/>
  <c r="N23" i="33" s="1"/>
  <c r="M21" i="33"/>
  <c r="M23" i="33" s="1"/>
  <c r="J21" i="33"/>
  <c r="I27" i="33"/>
  <c r="M27" i="33"/>
  <c r="I29" i="33"/>
  <c r="M29" i="33"/>
  <c r="I31" i="33"/>
  <c r="J27" i="33"/>
  <c r="J25" i="33" l="1"/>
  <c r="J23" i="33"/>
  <c r="L25" i="33"/>
  <c r="L31" i="33" s="1"/>
  <c r="L23" i="33"/>
  <c r="L29" i="33" s="1"/>
  <c r="H25" i="33"/>
  <c r="H31" i="33" s="1"/>
  <c r="H23" i="33"/>
  <c r="N29" i="33"/>
  <c r="H29" i="33"/>
  <c r="J31" i="33" l="1"/>
  <c r="J29" i="33"/>
  <c r="R24" i="32" l="1"/>
  <c r="R39" i="32" s="1"/>
  <c r="Q24" i="32"/>
  <c r="Q39" i="32" s="1"/>
  <c r="P24" i="32"/>
  <c r="P39" i="32" s="1"/>
  <c r="O24" i="32"/>
  <c r="O39" i="32" s="1"/>
  <c r="N24" i="32"/>
  <c r="N39" i="32" s="1"/>
  <c r="M24" i="32"/>
  <c r="M39" i="32" s="1"/>
  <c r="L24" i="32"/>
  <c r="L39" i="32" s="1"/>
  <c r="I4" i="32" s="1"/>
  <c r="J24" i="32"/>
  <c r="H24" i="32"/>
  <c r="G24" i="32"/>
  <c r="S22" i="32"/>
  <c r="K22" i="32"/>
  <c r="I22" i="32"/>
  <c r="S21" i="32"/>
  <c r="K21" i="32"/>
  <c r="I21" i="32"/>
  <c r="S20" i="32"/>
  <c r="K20" i="32"/>
  <c r="I20" i="32"/>
  <c r="S19" i="32"/>
  <c r="K19" i="32"/>
  <c r="I19" i="32"/>
  <c r="S18" i="32"/>
  <c r="K18" i="32"/>
  <c r="I18" i="32"/>
  <c r="S17" i="32"/>
  <c r="K17" i="32"/>
  <c r="I17" i="32"/>
  <c r="S16" i="32"/>
  <c r="K16" i="32"/>
  <c r="I16" i="32"/>
  <c r="S15" i="32"/>
  <c r="K15" i="32"/>
  <c r="I15" i="32"/>
  <c r="S14" i="32"/>
  <c r="K14" i="32"/>
  <c r="I14" i="32"/>
  <c r="S13" i="32"/>
  <c r="S24" i="32" s="1"/>
  <c r="K13" i="32"/>
  <c r="K24" i="32" s="1"/>
  <c r="I13" i="32"/>
  <c r="I24" i="32" s="1"/>
  <c r="I35" i="32" l="1"/>
  <c r="I29" i="32"/>
  <c r="S39" i="32"/>
  <c r="S31" i="32"/>
  <c r="S37" i="32" s="1"/>
  <c r="K35" i="32"/>
  <c r="K29" i="32"/>
  <c r="H29" i="32"/>
  <c r="L31" i="32"/>
  <c r="L37" i="32" s="1"/>
  <c r="P31" i="32"/>
  <c r="P37" i="32" s="1"/>
  <c r="H35" i="32"/>
  <c r="M31" i="32"/>
  <c r="Q31" i="32"/>
  <c r="M37" i="32"/>
  <c r="Q37" i="32"/>
  <c r="J29" i="32"/>
  <c r="N31" i="32"/>
  <c r="R31" i="32"/>
  <c r="R37" i="32" s="1"/>
  <c r="J35" i="32"/>
  <c r="N37" i="32"/>
  <c r="O31" i="32"/>
  <c r="O37" i="32" s="1"/>
  <c r="H33" i="32" l="1"/>
  <c r="H39" i="32" s="1"/>
  <c r="H31" i="32"/>
  <c r="H37" i="32" s="1"/>
  <c r="K33" i="32"/>
  <c r="K39" i="32" s="1"/>
  <c r="K31" i="32"/>
  <c r="K37" i="32" s="1"/>
  <c r="I33" i="32"/>
  <c r="I39" i="32" s="1"/>
  <c r="I31" i="32"/>
  <c r="I37" i="32" s="1"/>
  <c r="J33" i="32"/>
  <c r="J39" i="32" s="1"/>
  <c r="J31" i="32"/>
  <c r="J37" i="32" s="1"/>
  <c r="G30" i="31" l="1"/>
  <c r="G29" i="31"/>
  <c r="G28" i="31"/>
  <c r="G27" i="31"/>
  <c r="G67" i="2"/>
  <c r="H66" i="2"/>
  <c r="G66" i="2"/>
  <c r="H4" i="30" l="1"/>
  <c r="L24" i="30"/>
  <c r="K24" i="30"/>
  <c r="I24" i="30"/>
  <c r="G24" i="30"/>
  <c r="G39" i="30" s="1"/>
  <c r="F24" i="30"/>
  <c r="D24" i="30"/>
  <c r="J22" i="30"/>
  <c r="H22" i="30"/>
  <c r="J21" i="30"/>
  <c r="H21" i="30"/>
  <c r="J20" i="30"/>
  <c r="H20" i="30"/>
  <c r="J19" i="30"/>
  <c r="H19" i="30"/>
  <c r="J18" i="30"/>
  <c r="H18" i="30"/>
  <c r="J17" i="30"/>
  <c r="H17" i="30"/>
  <c r="J16" i="30"/>
  <c r="H16" i="30"/>
  <c r="J15" i="30"/>
  <c r="H15" i="30"/>
  <c r="J14" i="30"/>
  <c r="J24" i="30" s="1"/>
  <c r="H14" i="30"/>
  <c r="H24" i="30" s="1"/>
  <c r="H39" i="30" l="1"/>
  <c r="H35" i="30"/>
  <c r="H29" i="30"/>
  <c r="J29" i="30"/>
  <c r="J35" i="30"/>
  <c r="G29" i="30"/>
  <c r="K29" i="30"/>
  <c r="I35" i="30"/>
  <c r="L29" i="30"/>
  <c r="I29" i="30"/>
  <c r="G35" i="30"/>
  <c r="K35" i="30"/>
  <c r="L35" i="30"/>
  <c r="K24" i="29"/>
  <c r="G24" i="29"/>
  <c r="G28" i="29" s="1"/>
  <c r="K19" i="29"/>
  <c r="I19" i="29"/>
  <c r="G19" i="29"/>
  <c r="G34" i="29" s="1"/>
  <c r="F19" i="29"/>
  <c r="C19" i="29"/>
  <c r="L16" i="29"/>
  <c r="J16" i="29"/>
  <c r="H16" i="29"/>
  <c r="L15" i="29"/>
  <c r="J15" i="29"/>
  <c r="H15" i="29"/>
  <c r="L14" i="29"/>
  <c r="J14" i="29"/>
  <c r="H14" i="29"/>
  <c r="L13" i="29"/>
  <c r="L19" i="29" s="1"/>
  <c r="J13" i="29"/>
  <c r="J19" i="29" s="1"/>
  <c r="H13" i="29"/>
  <c r="H19" i="29" s="1"/>
  <c r="I33" i="30" l="1"/>
  <c r="I39" i="30" s="1"/>
  <c r="I31" i="30"/>
  <c r="I37" i="30" s="1"/>
  <c r="G31" i="30"/>
  <c r="G37" i="30" s="1"/>
  <c r="G33" i="30"/>
  <c r="H31" i="30"/>
  <c r="H33" i="30"/>
  <c r="L31" i="30"/>
  <c r="L33" i="30"/>
  <c r="L39" i="30" s="1"/>
  <c r="J33" i="30"/>
  <c r="J39" i="30" s="1"/>
  <c r="J31" i="30"/>
  <c r="J37" i="30" s="1"/>
  <c r="K31" i="30"/>
  <c r="K33" i="30"/>
  <c r="K39" i="30" s="1"/>
  <c r="L30" i="29"/>
  <c r="L24" i="29"/>
  <c r="H30" i="29"/>
  <c r="H24" i="29"/>
  <c r="J24" i="29"/>
  <c r="J30" i="29"/>
  <c r="J34" i="29"/>
  <c r="J4" i="29" s="1"/>
  <c r="I24" i="29"/>
  <c r="G26" i="29"/>
  <c r="G32" i="29" s="1"/>
  <c r="K26" i="29"/>
  <c r="K32" i="29" s="1"/>
  <c r="G30" i="29"/>
  <c r="K30" i="29"/>
  <c r="K28" i="29"/>
  <c r="K34" i="29" s="1"/>
  <c r="I30" i="29"/>
  <c r="I34" i="29" s="1"/>
  <c r="K37" i="30" l="1"/>
  <c r="L37" i="30"/>
  <c r="H37" i="30"/>
  <c r="L26" i="29"/>
  <c r="L28" i="29"/>
  <c r="L34" i="29" s="1"/>
  <c r="L32" i="29"/>
  <c r="I28" i="29"/>
  <c r="I26" i="29"/>
  <c r="I32" i="29" s="1"/>
  <c r="H26" i="29"/>
  <c r="H28" i="29"/>
  <c r="H34" i="29" s="1"/>
  <c r="J28" i="29"/>
  <c r="J26" i="29"/>
  <c r="H32" i="29" l="1"/>
  <c r="J32" i="29"/>
  <c r="H51" i="2" l="1"/>
  <c r="G51" i="2"/>
  <c r="G85" i="2" s="1"/>
  <c r="N47" i="27"/>
  <c r="N49" i="27" s="1"/>
  <c r="M47" i="27"/>
  <c r="I47" i="27"/>
  <c r="N42" i="27"/>
  <c r="M42" i="27"/>
  <c r="K42" i="27"/>
  <c r="I42" i="27"/>
  <c r="H42" i="27"/>
  <c r="D42" i="27"/>
  <c r="L40" i="27"/>
  <c r="L39" i="27"/>
  <c r="L38" i="27"/>
  <c r="L37" i="27"/>
  <c r="J37" i="27"/>
  <c r="L36" i="27"/>
  <c r="J36" i="27"/>
  <c r="L35" i="27"/>
  <c r="J35" i="27"/>
  <c r="L34" i="27"/>
  <c r="J34" i="27"/>
  <c r="L33" i="27"/>
  <c r="J33" i="27"/>
  <c r="L32" i="27"/>
  <c r="J32" i="27"/>
  <c r="L31" i="27"/>
  <c r="J31" i="27"/>
  <c r="L30" i="27"/>
  <c r="L29" i="27"/>
  <c r="L28" i="27"/>
  <c r="J28" i="27"/>
  <c r="L27" i="27"/>
  <c r="J27" i="27"/>
  <c r="L26" i="27"/>
  <c r="J26" i="27"/>
  <c r="L25" i="27"/>
  <c r="J25" i="27"/>
  <c r="L24" i="27"/>
  <c r="J24" i="27"/>
  <c r="L23" i="27"/>
  <c r="J23" i="27"/>
  <c r="L22" i="27"/>
  <c r="J22" i="27"/>
  <c r="L21" i="27"/>
  <c r="J21" i="27"/>
  <c r="L20" i="27"/>
  <c r="J20" i="27"/>
  <c r="L19" i="27"/>
  <c r="L18" i="27"/>
  <c r="L17" i="27"/>
  <c r="J17" i="27"/>
  <c r="L16" i="27"/>
  <c r="J16" i="27"/>
  <c r="L15" i="27"/>
  <c r="J15" i="27"/>
  <c r="L14" i="27"/>
  <c r="J14" i="27"/>
  <c r="J42" i="27" s="1"/>
  <c r="L13" i="27"/>
  <c r="L42" i="27" s="1"/>
  <c r="J53" i="27" l="1"/>
  <c r="J47" i="27"/>
  <c r="I57" i="27"/>
  <c r="L47" i="27"/>
  <c r="L53" i="27"/>
  <c r="L57" i="27" s="1"/>
  <c r="I5" i="27"/>
  <c r="M57" i="27"/>
  <c r="K53" i="27"/>
  <c r="K57" i="27" s="1"/>
  <c r="K47" i="27"/>
  <c r="I49" i="27"/>
  <c r="I55" i="27" s="1"/>
  <c r="M49" i="27"/>
  <c r="M55" i="27" s="1"/>
  <c r="I53" i="27"/>
  <c r="M53" i="27"/>
  <c r="I51" i="27"/>
  <c r="M51" i="27"/>
  <c r="N51" i="27"/>
  <c r="N57" i="27" s="1"/>
  <c r="N53" i="27"/>
  <c r="N55" i="27" l="1"/>
  <c r="J49" i="27"/>
  <c r="J51" i="27"/>
  <c r="J57" i="27" s="1"/>
  <c r="L51" i="27"/>
  <c r="L49" i="27"/>
  <c r="L55" i="27" s="1"/>
  <c r="K51" i="27"/>
  <c r="K49" i="27"/>
  <c r="K55" i="27" s="1"/>
  <c r="J55" i="27" l="1"/>
  <c r="L19" i="26" l="1"/>
  <c r="L13" i="26"/>
  <c r="L8" i="26"/>
  <c r="L2" i="26"/>
  <c r="L21" i="26" s="1"/>
  <c r="G13" i="25"/>
  <c r="F13" i="25"/>
  <c r="I13" i="25"/>
  <c r="G15" i="24" l="1"/>
  <c r="G14" i="24"/>
  <c r="G13" i="24"/>
  <c r="C59" i="25"/>
  <c r="C58" i="25"/>
  <c r="C54" i="25"/>
  <c r="C53" i="25"/>
  <c r="C52" i="25"/>
  <c r="C51" i="25"/>
  <c r="C50" i="25"/>
  <c r="K48" i="25"/>
  <c r="K47" i="25"/>
  <c r="K46" i="25"/>
  <c r="Q14" i="25"/>
  <c r="M14" i="25"/>
  <c r="M25" i="25" s="1"/>
  <c r="L14" i="25"/>
  <c r="L29" i="25" s="1"/>
  <c r="K14" i="25"/>
  <c r="J14" i="25"/>
  <c r="J29" i="25" s="1"/>
  <c r="H14" i="25"/>
  <c r="Q17" i="25" s="1"/>
  <c r="F14" i="25"/>
  <c r="C14" i="25"/>
  <c r="I14" i="25"/>
  <c r="C61" i="24"/>
  <c r="C60" i="24"/>
  <c r="C55" i="24"/>
  <c r="C54" i="24"/>
  <c r="C56" i="24" s="1"/>
  <c r="C53" i="24"/>
  <c r="C52" i="24"/>
  <c r="K50" i="24"/>
  <c r="K49" i="24"/>
  <c r="K48" i="24"/>
  <c r="Q16" i="24"/>
  <c r="Q19" i="24" s="1"/>
  <c r="M16" i="24"/>
  <c r="L16" i="24"/>
  <c r="L31" i="24" s="1"/>
  <c r="H16" i="24"/>
  <c r="F16" i="24"/>
  <c r="D16" i="24"/>
  <c r="C16" i="24"/>
  <c r="Q15" i="24"/>
  <c r="M15" i="24"/>
  <c r="K15" i="24"/>
  <c r="I15" i="24"/>
  <c r="I16" i="24" s="1"/>
  <c r="Q14" i="24"/>
  <c r="M14" i="24"/>
  <c r="J14" i="24"/>
  <c r="K14" i="24" s="1"/>
  <c r="I14" i="24"/>
  <c r="Q13" i="24"/>
  <c r="M13" i="24"/>
  <c r="K13" i="24"/>
  <c r="K16" i="24" s="1"/>
  <c r="J13" i="24"/>
  <c r="I13" i="24"/>
  <c r="I25" i="25" l="1"/>
  <c r="I19" i="25"/>
  <c r="K19" i="25"/>
  <c r="L19" i="25"/>
  <c r="L21" i="25" s="1"/>
  <c r="H25" i="25"/>
  <c r="J19" i="25"/>
  <c r="J21" i="25" s="1"/>
  <c r="K25" i="25"/>
  <c r="H19" i="25"/>
  <c r="M19" i="25"/>
  <c r="K21" i="24"/>
  <c r="K27" i="24"/>
  <c r="I4" i="24"/>
  <c r="I27" i="24"/>
  <c r="I21" i="24"/>
  <c r="J16" i="24"/>
  <c r="M21" i="24"/>
  <c r="M27" i="24"/>
  <c r="H21" i="24"/>
  <c r="L21" i="24"/>
  <c r="L23" i="24" s="1"/>
  <c r="H27" i="24"/>
  <c r="J27" i="25" l="1"/>
  <c r="L29" i="24"/>
  <c r="L27" i="25"/>
  <c r="I23" i="25"/>
  <c r="I29" i="25" s="1"/>
  <c r="I21" i="25"/>
  <c r="M23" i="25"/>
  <c r="M29" i="25" s="1"/>
  <c r="M21" i="25"/>
  <c r="H21" i="25"/>
  <c r="H27" i="25" s="1"/>
  <c r="H23" i="25"/>
  <c r="H29" i="25" s="1"/>
  <c r="K21" i="25"/>
  <c r="K23" i="25"/>
  <c r="K29" i="25" s="1"/>
  <c r="M27" i="25"/>
  <c r="I23" i="24"/>
  <c r="I29" i="24" s="1"/>
  <c r="I25" i="24"/>
  <c r="I31" i="24" s="1"/>
  <c r="M25" i="24"/>
  <c r="M31" i="24" s="1"/>
  <c r="M23" i="24"/>
  <c r="M29" i="24" s="1"/>
  <c r="K25" i="24"/>
  <c r="K31" i="24" s="1"/>
  <c r="K23" i="24"/>
  <c r="H25" i="24"/>
  <c r="H31" i="24" s="1"/>
  <c r="H23" i="24"/>
  <c r="H29" i="24" s="1"/>
  <c r="J31" i="24"/>
  <c r="J21" i="24"/>
  <c r="J23" i="24" s="1"/>
  <c r="K27" i="25" l="1"/>
  <c r="I27" i="25"/>
  <c r="K29" i="24"/>
  <c r="J29" i="24"/>
  <c r="O17" i="23" l="1"/>
  <c r="N17" i="23"/>
  <c r="M17" i="23"/>
  <c r="L17" i="23"/>
  <c r="K17" i="23"/>
  <c r="J17" i="23"/>
  <c r="I17" i="23"/>
  <c r="H17" i="23"/>
  <c r="G17" i="23"/>
  <c r="C17" i="23"/>
  <c r="D15" i="23"/>
  <c r="C15" i="23"/>
  <c r="E15" i="23" s="1"/>
  <c r="E14" i="23"/>
  <c r="E17" i="23" s="1"/>
  <c r="C14" i="23"/>
  <c r="D14" i="23" s="1"/>
  <c r="K22" i="23" l="1"/>
  <c r="O22" i="23"/>
  <c r="K28" i="23"/>
  <c r="O28" i="23"/>
  <c r="H22" i="23"/>
  <c r="L22" i="23"/>
  <c r="H28" i="23"/>
  <c r="L28" i="23"/>
  <c r="I22" i="23"/>
  <c r="M22" i="23"/>
  <c r="I28" i="23"/>
  <c r="M28" i="23"/>
  <c r="J22" i="23"/>
  <c r="N22" i="23"/>
  <c r="J28" i="23"/>
  <c r="N28" i="23"/>
  <c r="M26" i="23" l="1"/>
  <c r="M32" i="23" s="1"/>
  <c r="M24" i="23"/>
  <c r="I26" i="23"/>
  <c r="I32" i="23" s="1"/>
  <c r="I24" i="23"/>
  <c r="I30" i="23" s="1"/>
  <c r="N26" i="23"/>
  <c r="N32" i="23" s="1"/>
  <c r="N24" i="23"/>
  <c r="L26" i="23"/>
  <c r="L32" i="23" s="1"/>
  <c r="L24" i="23"/>
  <c r="L30" i="23" s="1"/>
  <c r="J26" i="23"/>
  <c r="J32" i="23" s="1"/>
  <c r="J24" i="23"/>
  <c r="J30" i="23" s="1"/>
  <c r="H26" i="23"/>
  <c r="H32" i="23" s="1"/>
  <c r="H24" i="23"/>
  <c r="H30" i="23" s="1"/>
  <c r="O26" i="23"/>
  <c r="O32" i="23" s="1"/>
  <c r="O24" i="23"/>
  <c r="O30" i="23" s="1"/>
  <c r="K26" i="23"/>
  <c r="K32" i="23" s="1"/>
  <c r="K24" i="23"/>
  <c r="K30" i="23" s="1"/>
  <c r="N30" i="23" l="1"/>
  <c r="M30" i="23"/>
  <c r="N21" i="21" l="1"/>
  <c r="N20" i="21"/>
  <c r="N19" i="21"/>
  <c r="N18" i="21"/>
  <c r="M20" i="21" l="1"/>
  <c r="M19" i="21"/>
  <c r="M18" i="21"/>
  <c r="J4" i="22"/>
  <c r="N40" i="22"/>
  <c r="M40" i="22"/>
  <c r="L40" i="22"/>
  <c r="K40" i="22"/>
  <c r="J40" i="22"/>
  <c r="I40" i="22"/>
  <c r="H40" i="22"/>
  <c r="G40" i="22"/>
  <c r="M30" i="22"/>
  <c r="I30" i="22"/>
  <c r="M19" i="22"/>
  <c r="M24" i="22" s="1"/>
  <c r="L19" i="22"/>
  <c r="K19" i="22"/>
  <c r="K24" i="22" s="1"/>
  <c r="I19" i="22"/>
  <c r="I24" i="22" s="1"/>
  <c r="H19" i="22"/>
  <c r="H24" i="22" s="1"/>
  <c r="G19" i="22"/>
  <c r="G24" i="22" s="1"/>
  <c r="R18" i="22"/>
  <c r="N16" i="22"/>
  <c r="L16" i="22"/>
  <c r="J16" i="22"/>
  <c r="H16" i="22"/>
  <c r="N15" i="22"/>
  <c r="N19" i="22" s="1"/>
  <c r="L15" i="22"/>
  <c r="J15" i="22"/>
  <c r="J19" i="22" s="1"/>
  <c r="H15" i="22"/>
  <c r="J30" i="22" l="1"/>
  <c r="J24" i="22"/>
  <c r="M32" i="22"/>
  <c r="M28" i="22"/>
  <c r="M34" i="22" s="1"/>
  <c r="M26" i="22"/>
  <c r="N30" i="22"/>
  <c r="N32" i="22" s="1"/>
  <c r="N28" i="22"/>
  <c r="N34" i="22" s="1"/>
  <c r="N26" i="22"/>
  <c r="I32" i="22"/>
  <c r="I28" i="22"/>
  <c r="I34" i="22" s="1"/>
  <c r="I26" i="22"/>
  <c r="G28" i="22"/>
  <c r="G26" i="22"/>
  <c r="G32" i="22" s="1"/>
  <c r="H28" i="22"/>
  <c r="H32" i="22" s="1"/>
  <c r="H26" i="22"/>
  <c r="K28" i="22"/>
  <c r="K26" i="22"/>
  <c r="G30" i="22"/>
  <c r="K30" i="22"/>
  <c r="K32" i="22"/>
  <c r="G34" i="22"/>
  <c r="K34" i="22"/>
  <c r="L24" i="22"/>
  <c r="H30" i="22"/>
  <c r="L30" i="22"/>
  <c r="H34" i="22" l="1"/>
  <c r="L28" i="22"/>
  <c r="L34" i="22" s="1"/>
  <c r="L26" i="22"/>
  <c r="L32" i="22" s="1"/>
  <c r="J28" i="22"/>
  <c r="J34" i="22" s="1"/>
  <c r="J26" i="22"/>
  <c r="J32" i="22" l="1"/>
  <c r="I9" i="20" l="1"/>
  <c r="I8" i="20"/>
  <c r="E8" i="20" s="1"/>
  <c r="G8" i="20" s="1"/>
  <c r="E7" i="20"/>
  <c r="G7" i="20" s="1"/>
  <c r="J6" i="20"/>
  <c r="I6" i="20"/>
  <c r="G6" i="20"/>
  <c r="E6" i="20"/>
  <c r="E5" i="20"/>
  <c r="E10" i="20" s="1"/>
  <c r="J4" i="20"/>
  <c r="J5" i="20" s="1"/>
  <c r="I4" i="20"/>
  <c r="I5" i="20" s="1"/>
  <c r="O17" i="19"/>
  <c r="N17" i="19"/>
  <c r="M17" i="19"/>
  <c r="L17" i="19"/>
  <c r="L28" i="19" s="1"/>
  <c r="K17" i="19"/>
  <c r="J17" i="19"/>
  <c r="I17" i="19"/>
  <c r="H17" i="19"/>
  <c r="G17" i="19"/>
  <c r="E14" i="19"/>
  <c r="E17" i="19" s="1"/>
  <c r="D14" i="19"/>
  <c r="C14" i="19"/>
  <c r="C17" i="19" s="1"/>
  <c r="G5" i="20" l="1"/>
  <c r="G10" i="20" s="1"/>
  <c r="H22" i="19"/>
  <c r="H28" i="19"/>
  <c r="I22" i="19"/>
  <c r="M22" i="19"/>
  <c r="I28" i="19"/>
  <c r="M28" i="19"/>
  <c r="L22" i="19"/>
  <c r="J22" i="19"/>
  <c r="N22" i="19"/>
  <c r="J28" i="19"/>
  <c r="N28" i="19"/>
  <c r="K22" i="19"/>
  <c r="O22" i="19"/>
  <c r="K28" i="19"/>
  <c r="O28" i="19"/>
  <c r="G11" i="20" l="1"/>
  <c r="F11" i="20" s="1"/>
  <c r="F10" i="20"/>
  <c r="J26" i="19"/>
  <c r="J32" i="19" s="1"/>
  <c r="J24" i="19"/>
  <c r="H26" i="19"/>
  <c r="H32" i="19" s="1"/>
  <c r="H24" i="19"/>
  <c r="K26" i="19"/>
  <c r="K32" i="19" s="1"/>
  <c r="K24" i="19"/>
  <c r="M26" i="19"/>
  <c r="M32" i="19" s="1"/>
  <c r="M24" i="19"/>
  <c r="M30" i="19" s="1"/>
  <c r="H30" i="19"/>
  <c r="O26" i="19"/>
  <c r="O32" i="19" s="1"/>
  <c r="O24" i="19"/>
  <c r="O30" i="19" s="1"/>
  <c r="L26" i="19"/>
  <c r="L32" i="19" s="1"/>
  <c r="L24" i="19"/>
  <c r="L30" i="19" s="1"/>
  <c r="N26" i="19"/>
  <c r="N32" i="19" s="1"/>
  <c r="N24" i="19"/>
  <c r="N30" i="19" s="1"/>
  <c r="I26" i="19"/>
  <c r="I32" i="19" s="1"/>
  <c r="I24" i="19"/>
  <c r="I30" i="19" l="1"/>
  <c r="K30" i="19"/>
  <c r="J30" i="19"/>
  <c r="K4" i="19"/>
  <c r="F23" i="18" l="1"/>
  <c r="C23" i="18"/>
  <c r="K23" i="18"/>
  <c r="J23" i="18"/>
  <c r="H23" i="18"/>
  <c r="E23" i="18"/>
  <c r="G21" i="18"/>
  <c r="I20" i="18"/>
  <c r="G20" i="18"/>
  <c r="G19" i="18"/>
  <c r="I18" i="18"/>
  <c r="G18" i="18"/>
  <c r="I17" i="18"/>
  <c r="G17" i="18"/>
  <c r="I16" i="18"/>
  <c r="G16" i="18"/>
  <c r="I15" i="18"/>
  <c r="I14" i="18"/>
  <c r="G14" i="18"/>
  <c r="I13" i="18"/>
  <c r="I23" i="18" s="1"/>
  <c r="G13" i="18"/>
  <c r="G23" i="18" s="1"/>
  <c r="K19" i="17"/>
  <c r="J19" i="17"/>
  <c r="H19" i="17"/>
  <c r="F19" i="17"/>
  <c r="E19" i="17"/>
  <c r="I17" i="17"/>
  <c r="G17" i="17"/>
  <c r="G16" i="17"/>
  <c r="I15" i="17"/>
  <c r="G15" i="17"/>
  <c r="I14" i="17"/>
  <c r="I19" i="17" s="1"/>
  <c r="G14" i="17"/>
  <c r="G19" i="17" s="1"/>
  <c r="G34" i="18" l="1"/>
  <c r="G28" i="18"/>
  <c r="I28" i="18"/>
  <c r="I34" i="18"/>
  <c r="F28" i="18"/>
  <c r="J28" i="18"/>
  <c r="H34" i="18"/>
  <c r="K28" i="18"/>
  <c r="H28" i="18"/>
  <c r="F34" i="18"/>
  <c r="J34" i="18"/>
  <c r="K34" i="18"/>
  <c r="G30" i="17"/>
  <c r="G24" i="17"/>
  <c r="I24" i="17"/>
  <c r="I30" i="17"/>
  <c r="G4" i="17"/>
  <c r="F24" i="17"/>
  <c r="J24" i="17"/>
  <c r="H30" i="17"/>
  <c r="K24" i="17"/>
  <c r="H24" i="17"/>
  <c r="F30" i="17"/>
  <c r="J30" i="17"/>
  <c r="K30" i="17"/>
  <c r="G30" i="18" l="1"/>
  <c r="G32" i="18"/>
  <c r="K30" i="18"/>
  <c r="K36" i="18" s="1"/>
  <c r="K32" i="18"/>
  <c r="K38" i="18" s="1"/>
  <c r="J30" i="18"/>
  <c r="J32" i="18"/>
  <c r="J38" i="18" s="1"/>
  <c r="H32" i="18"/>
  <c r="H38" i="18" s="1"/>
  <c r="H30" i="18"/>
  <c r="H36" i="18" s="1"/>
  <c r="J36" i="18"/>
  <c r="F30" i="18"/>
  <c r="F36" i="18" s="1"/>
  <c r="F32" i="18"/>
  <c r="F38" i="18" s="1"/>
  <c r="I32" i="18"/>
  <c r="I38" i="18" s="1"/>
  <c r="I30" i="18"/>
  <c r="I36" i="18" s="1"/>
  <c r="H32" i="17"/>
  <c r="G26" i="17"/>
  <c r="G28" i="17"/>
  <c r="K26" i="17"/>
  <c r="K28" i="17"/>
  <c r="K34" i="17" s="1"/>
  <c r="J26" i="17"/>
  <c r="J32" i="17" s="1"/>
  <c r="J28" i="17"/>
  <c r="J34" i="17" s="1"/>
  <c r="F26" i="17"/>
  <c r="F32" i="17" s="1"/>
  <c r="F28" i="17"/>
  <c r="F34" i="17" s="1"/>
  <c r="H28" i="17"/>
  <c r="H34" i="17" s="1"/>
  <c r="H26" i="17"/>
  <c r="K32" i="17"/>
  <c r="I28" i="17"/>
  <c r="I34" i="17" s="1"/>
  <c r="I26" i="17"/>
  <c r="I32" i="17" s="1"/>
  <c r="G38" i="18" l="1"/>
  <c r="G36" i="18"/>
  <c r="G34" i="17"/>
  <c r="G32" i="17"/>
  <c r="G21" i="16" l="1"/>
  <c r="H21" i="16" s="1"/>
  <c r="J21" i="16" s="1"/>
  <c r="H20" i="16"/>
  <c r="J20" i="16" s="1"/>
  <c r="G20" i="16"/>
  <c r="G19" i="16"/>
  <c r="H19" i="16" s="1"/>
  <c r="J19" i="16" s="1"/>
  <c r="H18" i="16"/>
  <c r="J18" i="16" s="1"/>
  <c r="G18" i="16"/>
  <c r="N8" i="16"/>
  <c r="J8" i="16"/>
  <c r="K8" i="16" s="1"/>
  <c r="G8" i="16"/>
  <c r="H8" i="16" s="1"/>
  <c r="N7" i="16"/>
  <c r="K7" i="16"/>
  <c r="J7" i="16"/>
  <c r="H7" i="16"/>
  <c r="G7" i="16"/>
  <c r="N6" i="16"/>
  <c r="J6" i="16"/>
  <c r="K6" i="16" s="1"/>
  <c r="G6" i="16"/>
  <c r="H6" i="16" s="1"/>
  <c r="N5" i="16"/>
  <c r="K5" i="16"/>
  <c r="J5" i="16"/>
  <c r="H5" i="16"/>
  <c r="G5" i="16"/>
  <c r="J22" i="16" l="1"/>
  <c r="M28" i="15"/>
  <c r="L28" i="15"/>
  <c r="H28" i="15"/>
  <c r="G28" i="15"/>
  <c r="E28" i="15"/>
  <c r="Q26" i="15"/>
  <c r="I26" i="15"/>
  <c r="I25" i="15"/>
  <c r="I24" i="15"/>
  <c r="I23" i="15"/>
  <c r="I21" i="15"/>
  <c r="I20" i="15"/>
  <c r="I19" i="15"/>
  <c r="I18" i="15"/>
  <c r="I17" i="15"/>
  <c r="I16" i="15"/>
  <c r="I15" i="15"/>
  <c r="I14" i="15"/>
  <c r="I28" i="15" s="1"/>
  <c r="M32" i="14"/>
  <c r="I32" i="14"/>
  <c r="M26" i="14"/>
  <c r="I26" i="14"/>
  <c r="I30" i="14" s="1"/>
  <c r="I36" i="14" s="1"/>
  <c r="N21" i="14"/>
  <c r="M21" i="14"/>
  <c r="K21" i="14"/>
  <c r="J21" i="14"/>
  <c r="I21" i="14"/>
  <c r="C21" i="14"/>
  <c r="R20" i="14"/>
  <c r="N19" i="14"/>
  <c r="L19" i="14"/>
  <c r="J19" i="14"/>
  <c r="H19" i="14"/>
  <c r="N18" i="14"/>
  <c r="L18" i="14"/>
  <c r="J18" i="14"/>
  <c r="H18" i="14"/>
  <c r="N17" i="14"/>
  <c r="L17" i="14"/>
  <c r="J17" i="14"/>
  <c r="H17" i="14"/>
  <c r="N16" i="14"/>
  <c r="L16" i="14"/>
  <c r="J16" i="14"/>
  <c r="H16" i="14"/>
  <c r="N15" i="14"/>
  <c r="L15" i="14"/>
  <c r="J15" i="14"/>
  <c r="H15" i="14"/>
  <c r="N14" i="14"/>
  <c r="L14" i="14"/>
  <c r="L21" i="14" s="1"/>
  <c r="J14" i="14"/>
  <c r="H14" i="14"/>
  <c r="H21" i="14" s="1"/>
  <c r="G13" i="14"/>
  <c r="G21" i="14" s="1"/>
  <c r="I39" i="15" l="1"/>
  <c r="I33" i="15"/>
  <c r="K26" i="15"/>
  <c r="H33" i="15"/>
  <c r="H39" i="15"/>
  <c r="L33" i="15"/>
  <c r="L39" i="15"/>
  <c r="L41" i="15"/>
  <c r="M33" i="15"/>
  <c r="M39" i="15"/>
  <c r="M41" i="15"/>
  <c r="L32" i="14"/>
  <c r="L26" i="14"/>
  <c r="G32" i="14"/>
  <c r="G26" i="14"/>
  <c r="H32" i="14"/>
  <c r="H26" i="14"/>
  <c r="M28" i="14"/>
  <c r="M34" i="14" s="1"/>
  <c r="M30" i="14"/>
  <c r="M36" i="14" s="1"/>
  <c r="O23" i="14"/>
  <c r="J26" i="14"/>
  <c r="N26" i="14"/>
  <c r="J32" i="14"/>
  <c r="N32" i="14"/>
  <c r="I28" i="14"/>
  <c r="I34" i="14" s="1"/>
  <c r="K26" i="14"/>
  <c r="K32" i="14"/>
  <c r="L37" i="15" l="1"/>
  <c r="L43" i="15" s="1"/>
  <c r="L35" i="15"/>
  <c r="M37" i="15"/>
  <c r="M43" i="15" s="1"/>
  <c r="M35" i="15"/>
  <c r="H37" i="15"/>
  <c r="H43" i="15" s="1"/>
  <c r="H35" i="15"/>
  <c r="H41" i="15" s="1"/>
  <c r="I37" i="15"/>
  <c r="I43" i="15" s="1"/>
  <c r="I35" i="15"/>
  <c r="I41" i="15" s="1"/>
  <c r="J30" i="14"/>
  <c r="J36" i="14" s="1"/>
  <c r="J28" i="14"/>
  <c r="J34" i="14" s="1"/>
  <c r="G30" i="14"/>
  <c r="G36" i="14" s="1"/>
  <c r="G28" i="14"/>
  <c r="G34" i="14" s="1"/>
  <c r="K30" i="14"/>
  <c r="K36" i="14" s="1"/>
  <c r="K28" i="14"/>
  <c r="K34" i="14" s="1"/>
  <c r="L30" i="14"/>
  <c r="L36" i="14" s="1"/>
  <c r="L28" i="14"/>
  <c r="L34" i="14" s="1"/>
  <c r="N30" i="14"/>
  <c r="N36" i="14" s="1"/>
  <c r="N28" i="14"/>
  <c r="N34" i="14" s="1"/>
  <c r="H30" i="14"/>
  <c r="H36" i="14" s="1"/>
  <c r="H28" i="14"/>
  <c r="H34" i="14" s="1"/>
  <c r="G24" i="2" l="1"/>
  <c r="G19" i="2" l="1"/>
  <c r="H19" i="2" l="1"/>
  <c r="G7" i="13" l="1"/>
  <c r="F7" i="13"/>
  <c r="F6" i="13"/>
  <c r="N39" i="11" l="1"/>
  <c r="J39" i="11"/>
  <c r="H39" i="11"/>
  <c r="G39" i="11"/>
  <c r="E39" i="11"/>
  <c r="O37" i="11"/>
  <c r="M37" i="11"/>
  <c r="L37" i="11"/>
  <c r="K37" i="11"/>
  <c r="I37" i="11"/>
  <c r="O36" i="11"/>
  <c r="L36" i="11"/>
  <c r="M36" i="11" s="1"/>
  <c r="K36" i="11"/>
  <c r="I36" i="11"/>
  <c r="O35" i="11"/>
  <c r="M35" i="11"/>
  <c r="L35" i="11"/>
  <c r="K35" i="11"/>
  <c r="I35" i="11"/>
  <c r="O34" i="11"/>
  <c r="L34" i="11"/>
  <c r="M34" i="11" s="1"/>
  <c r="K34" i="11"/>
  <c r="I34" i="11"/>
  <c r="O33" i="11"/>
  <c r="M33" i="11"/>
  <c r="L33" i="11"/>
  <c r="K33" i="11"/>
  <c r="I33" i="11"/>
  <c r="O32" i="11"/>
  <c r="L32" i="11"/>
  <c r="M32" i="11" s="1"/>
  <c r="K32" i="11"/>
  <c r="I32" i="11"/>
  <c r="O31" i="11"/>
  <c r="M31" i="11"/>
  <c r="L31" i="11"/>
  <c r="K31" i="11"/>
  <c r="I31" i="11"/>
  <c r="O30" i="11"/>
  <c r="L30" i="11"/>
  <c r="M30" i="11" s="1"/>
  <c r="K30" i="11"/>
  <c r="I30" i="11"/>
  <c r="O29" i="11"/>
  <c r="M29" i="11"/>
  <c r="L29" i="11"/>
  <c r="K29" i="11"/>
  <c r="I29" i="11"/>
  <c r="O28" i="11"/>
  <c r="L28" i="11"/>
  <c r="M28" i="11" s="1"/>
  <c r="K28" i="11"/>
  <c r="I28" i="11"/>
  <c r="O27" i="11"/>
  <c r="M27" i="11"/>
  <c r="L27" i="11"/>
  <c r="K27" i="11"/>
  <c r="I27" i="11"/>
  <c r="O26" i="11"/>
  <c r="L26" i="11"/>
  <c r="M26" i="11" s="1"/>
  <c r="K26" i="11"/>
  <c r="I26" i="11"/>
  <c r="O25" i="11"/>
  <c r="M25" i="11"/>
  <c r="L25" i="11"/>
  <c r="K25" i="11"/>
  <c r="I25" i="11"/>
  <c r="O24" i="11"/>
  <c r="L24" i="11"/>
  <c r="M24" i="11" s="1"/>
  <c r="K24" i="11"/>
  <c r="I24" i="11"/>
  <c r="O23" i="11"/>
  <c r="M23" i="11"/>
  <c r="L23" i="11"/>
  <c r="K23" i="11"/>
  <c r="I23" i="11"/>
  <c r="O22" i="11"/>
  <c r="L22" i="11"/>
  <c r="M22" i="11" s="1"/>
  <c r="K22" i="11"/>
  <c r="I22" i="11"/>
  <c r="O21" i="11"/>
  <c r="M21" i="11"/>
  <c r="L21" i="11"/>
  <c r="K21" i="11"/>
  <c r="I21" i="11"/>
  <c r="O20" i="11"/>
  <c r="L20" i="11"/>
  <c r="M20" i="11" s="1"/>
  <c r="K20" i="11"/>
  <c r="I20" i="11"/>
  <c r="O19" i="11"/>
  <c r="M19" i="11"/>
  <c r="L19" i="11"/>
  <c r="K19" i="11"/>
  <c r="I19" i="11"/>
  <c r="O18" i="11"/>
  <c r="L18" i="11"/>
  <c r="M18" i="11" s="1"/>
  <c r="K18" i="11"/>
  <c r="I18" i="11"/>
  <c r="O17" i="11"/>
  <c r="M17" i="11"/>
  <c r="L17" i="11"/>
  <c r="K17" i="11"/>
  <c r="I17" i="11"/>
  <c r="O16" i="11"/>
  <c r="L16" i="11"/>
  <c r="M16" i="11" s="1"/>
  <c r="K16" i="11"/>
  <c r="I16" i="11"/>
  <c r="O15" i="11"/>
  <c r="M15" i="11"/>
  <c r="L15" i="11"/>
  <c r="K15" i="11"/>
  <c r="I15" i="11"/>
  <c r="O14" i="11"/>
  <c r="O39" i="11" s="1"/>
  <c r="L14" i="11"/>
  <c r="M14" i="11" s="1"/>
  <c r="K14" i="11"/>
  <c r="K39" i="11" s="1"/>
  <c r="I14" i="11"/>
  <c r="I39" i="11" s="1"/>
  <c r="O50" i="11" l="1"/>
  <c r="O44" i="11"/>
  <c r="K50" i="11"/>
  <c r="K44" i="11"/>
  <c r="M39" i="11"/>
  <c r="I50" i="11"/>
  <c r="I44" i="11"/>
  <c r="L39" i="11"/>
  <c r="H44" i="11"/>
  <c r="H50" i="11"/>
  <c r="J44" i="11"/>
  <c r="N44" i="11"/>
  <c r="J50" i="11"/>
  <c r="N50" i="11"/>
  <c r="O48" i="11" l="1"/>
  <c r="O54" i="11" s="1"/>
  <c r="O46" i="11"/>
  <c r="I48" i="11"/>
  <c r="I54" i="11" s="1"/>
  <c r="I46" i="11"/>
  <c r="N48" i="11"/>
  <c r="N54" i="11" s="1"/>
  <c r="N46" i="11"/>
  <c r="H48" i="11"/>
  <c r="H54" i="11" s="1"/>
  <c r="H46" i="11"/>
  <c r="H52" i="11" s="1"/>
  <c r="M50" i="11"/>
  <c r="M44" i="11"/>
  <c r="O52" i="11"/>
  <c r="J48" i="11"/>
  <c r="J54" i="11" s="1"/>
  <c r="J46" i="11"/>
  <c r="J52" i="11" s="1"/>
  <c r="L50" i="11"/>
  <c r="L44" i="11"/>
  <c r="I52" i="11"/>
  <c r="K48" i="11"/>
  <c r="K54" i="11" s="1"/>
  <c r="K46" i="11"/>
  <c r="M48" i="11" l="1"/>
  <c r="M54" i="11" s="1"/>
  <c r="M46" i="11"/>
  <c r="L48" i="11"/>
  <c r="L54" i="11" s="1"/>
  <c r="L46" i="11"/>
  <c r="K52" i="11"/>
  <c r="N52" i="11"/>
  <c r="L52" i="11"/>
  <c r="M52" i="11" l="1"/>
  <c r="J93" i="3" l="1"/>
  <c r="I93" i="3"/>
  <c r="H93" i="3"/>
  <c r="J111" i="10" l="1"/>
  <c r="J109" i="10" l="1"/>
  <c r="H109" i="10"/>
  <c r="I107" i="10"/>
  <c r="L107" i="10" s="1"/>
  <c r="I106" i="10"/>
  <c r="L106" i="10" s="1"/>
  <c r="I105" i="10"/>
  <c r="L105" i="10" s="1"/>
  <c r="I104" i="10"/>
  <c r="L104" i="10" s="1"/>
  <c r="I103" i="10"/>
  <c r="L103" i="10" s="1"/>
  <c r="I102" i="10"/>
  <c r="L102" i="10" s="1"/>
  <c r="I101" i="10"/>
  <c r="L101" i="10" s="1"/>
  <c r="I100" i="10"/>
  <c r="L100" i="10" s="1"/>
  <c r="I99" i="10"/>
  <c r="L99" i="10" s="1"/>
  <c r="I98" i="10"/>
  <c r="L98" i="10" s="1"/>
  <c r="I97" i="10"/>
  <c r="L97" i="10" s="1"/>
  <c r="I96" i="10"/>
  <c r="L96" i="10" s="1"/>
  <c r="I95" i="10"/>
  <c r="L95" i="10" s="1"/>
  <c r="I94" i="10"/>
  <c r="L94" i="10" s="1"/>
  <c r="I93" i="10"/>
  <c r="L93" i="10" s="1"/>
  <c r="I92" i="10"/>
  <c r="L92" i="10" s="1"/>
  <c r="I91" i="10"/>
  <c r="L91" i="10" s="1"/>
  <c r="I90" i="10"/>
  <c r="L90" i="10" s="1"/>
  <c r="I89" i="10"/>
  <c r="L89" i="10" s="1"/>
  <c r="I88" i="10"/>
  <c r="L88" i="10" s="1"/>
  <c r="I87" i="10"/>
  <c r="L87" i="10" s="1"/>
  <c r="I86" i="10"/>
  <c r="I85" i="10"/>
  <c r="I84" i="10"/>
  <c r="I83" i="10"/>
  <c r="L83" i="10" s="1"/>
  <c r="L82" i="10"/>
  <c r="I82" i="10"/>
  <c r="I81" i="10"/>
  <c r="L81" i="10" s="1"/>
  <c r="L80" i="10"/>
  <c r="I80" i="10"/>
  <c r="I79" i="10"/>
  <c r="L79" i="10" s="1"/>
  <c r="I78" i="10"/>
  <c r="I77" i="10"/>
  <c r="I76" i="10"/>
  <c r="L76" i="10" s="1"/>
  <c r="L75" i="10"/>
  <c r="I75" i="10"/>
  <c r="I74" i="10"/>
  <c r="L74" i="10" s="1"/>
  <c r="L73" i="10"/>
  <c r="I73" i="10"/>
  <c r="I72" i="10"/>
  <c r="L72" i="10" s="1"/>
  <c r="L71" i="10"/>
  <c r="I71" i="10"/>
  <c r="I70" i="10"/>
  <c r="L70" i="10" s="1"/>
  <c r="L69" i="10"/>
  <c r="I69" i="10"/>
  <c r="I68" i="10"/>
  <c r="L68" i="10" s="1"/>
  <c r="L67" i="10"/>
  <c r="I67" i="10"/>
  <c r="I66" i="10"/>
  <c r="L66" i="10" s="1"/>
  <c r="L65" i="10"/>
  <c r="I65" i="10"/>
  <c r="I64" i="10"/>
  <c r="L64" i="10" s="1"/>
  <c r="L63" i="10"/>
  <c r="I63" i="10"/>
  <c r="I62" i="10"/>
  <c r="L62" i="10" s="1"/>
  <c r="I61" i="10"/>
  <c r="I60" i="10"/>
  <c r="I59" i="10"/>
  <c r="L59" i="10" s="1"/>
  <c r="L58" i="10"/>
  <c r="I58" i="10"/>
  <c r="I57" i="10"/>
  <c r="L57" i="10" s="1"/>
  <c r="L56" i="10"/>
  <c r="I56" i="10"/>
  <c r="I55" i="10"/>
  <c r="L55" i="10" s="1"/>
  <c r="L54" i="10"/>
  <c r="I54" i="10"/>
  <c r="I53" i="10"/>
  <c r="L53" i="10" s="1"/>
  <c r="L52" i="10"/>
  <c r="I52" i="10"/>
  <c r="I51" i="10"/>
  <c r="L51" i="10" s="1"/>
  <c r="I50" i="10"/>
  <c r="I49" i="10"/>
  <c r="L49" i="10" s="1"/>
  <c r="I48" i="10"/>
  <c r="L48" i="10" s="1"/>
  <c r="I47" i="10"/>
  <c r="L47" i="10" s="1"/>
  <c r="I46" i="10"/>
  <c r="L46" i="10" s="1"/>
  <c r="I45" i="10"/>
  <c r="L45" i="10" s="1"/>
  <c r="I44" i="10"/>
  <c r="L44" i="10" s="1"/>
  <c r="I43" i="10"/>
  <c r="L43" i="10" s="1"/>
  <c r="I42" i="10"/>
  <c r="L42" i="10" s="1"/>
  <c r="I41" i="10"/>
  <c r="L41" i="10" s="1"/>
  <c r="J37" i="10"/>
  <c r="H37" i="10"/>
  <c r="I35" i="10"/>
  <c r="L34" i="10"/>
  <c r="I34" i="10"/>
  <c r="I33" i="10"/>
  <c r="L33" i="10" s="1"/>
  <c r="L32" i="10"/>
  <c r="I32" i="10"/>
  <c r="I31" i="10"/>
  <c r="L31" i="10" s="1"/>
  <c r="L30" i="10"/>
  <c r="I30" i="10"/>
  <c r="I29" i="10"/>
  <c r="L29" i="10" s="1"/>
  <c r="L28" i="10"/>
  <c r="I28" i="10"/>
  <c r="I27" i="10"/>
  <c r="L27" i="10" s="1"/>
  <c r="L26" i="10"/>
  <c r="I26" i="10"/>
  <c r="I25" i="10"/>
  <c r="L25" i="10" s="1"/>
  <c r="L24" i="10"/>
  <c r="I24" i="10"/>
  <c r="I23" i="10"/>
  <c r="L23" i="10" s="1"/>
  <c r="L22" i="10"/>
  <c r="I22" i="10"/>
  <c r="I21" i="10"/>
  <c r="L21" i="10" s="1"/>
  <c r="L20" i="10"/>
  <c r="I20" i="10"/>
  <c r="I19" i="10"/>
  <c r="I18" i="10"/>
  <c r="L18" i="10" s="1"/>
  <c r="I17" i="10"/>
  <c r="L17" i="10" s="1"/>
  <c r="I16" i="10"/>
  <c r="L16" i="10" s="1"/>
  <c r="I15" i="10"/>
  <c r="L15" i="10" s="1"/>
  <c r="I14" i="10"/>
  <c r="L14" i="10" s="1"/>
  <c r="I13" i="10"/>
  <c r="L13" i="10" s="1"/>
  <c r="I12" i="10"/>
  <c r="L12" i="10" s="1"/>
  <c r="I11" i="10"/>
  <c r="L11" i="10" s="1"/>
  <c r="I10" i="10"/>
  <c r="L10" i="10" s="1"/>
  <c r="I9" i="10"/>
  <c r="L9" i="10" s="1"/>
  <c r="I8" i="10"/>
  <c r="I7" i="10"/>
  <c r="I6" i="10"/>
  <c r="L6" i="10" s="1"/>
  <c r="I5" i="10"/>
  <c r="L5" i="10" s="1"/>
  <c r="I4" i="10"/>
  <c r="L4" i="10" s="1"/>
  <c r="I3" i="10"/>
  <c r="L3" i="10" s="1"/>
  <c r="I2" i="10"/>
  <c r="I37" i="10" s="1"/>
  <c r="J38" i="10" l="1"/>
  <c r="I109" i="10"/>
  <c r="J110" i="10" s="1"/>
  <c r="L2" i="10"/>
  <c r="C62" i="9"/>
  <c r="C61" i="9"/>
  <c r="C60" i="9"/>
  <c r="M39" i="9"/>
  <c r="I39" i="9"/>
  <c r="M33" i="9"/>
  <c r="I33" i="9"/>
  <c r="N28" i="9"/>
  <c r="N33" i="9" s="1"/>
  <c r="M28" i="9"/>
  <c r="K28" i="9"/>
  <c r="I28" i="9"/>
  <c r="G28" i="9"/>
  <c r="F28" i="9"/>
  <c r="R26" i="9"/>
  <c r="N26" i="9"/>
  <c r="L26" i="9"/>
  <c r="J26" i="9"/>
  <c r="H26" i="9"/>
  <c r="D26" i="9"/>
  <c r="R25" i="9"/>
  <c r="N25" i="9"/>
  <c r="L25" i="9"/>
  <c r="J25" i="9"/>
  <c r="H25" i="9"/>
  <c r="D25" i="9" s="1"/>
  <c r="R24" i="9"/>
  <c r="N24" i="9"/>
  <c r="L24" i="9"/>
  <c r="J24" i="9"/>
  <c r="H24" i="9"/>
  <c r="D24" i="9"/>
  <c r="R23" i="9"/>
  <c r="N23" i="9"/>
  <c r="L23" i="9"/>
  <c r="J23" i="9"/>
  <c r="H23" i="9"/>
  <c r="D23" i="9" s="1"/>
  <c r="R22" i="9"/>
  <c r="N22" i="9"/>
  <c r="L22" i="9"/>
  <c r="J22" i="9"/>
  <c r="H22" i="9"/>
  <c r="D22" i="9"/>
  <c r="R21" i="9"/>
  <c r="N21" i="9"/>
  <c r="L21" i="9"/>
  <c r="J21" i="9"/>
  <c r="H21" i="9"/>
  <c r="D21" i="9" s="1"/>
  <c r="R20" i="9"/>
  <c r="N20" i="9"/>
  <c r="L20" i="9"/>
  <c r="J20" i="9"/>
  <c r="H20" i="9"/>
  <c r="D20" i="9"/>
  <c r="R19" i="9"/>
  <c r="N19" i="9"/>
  <c r="L19" i="9"/>
  <c r="J19" i="9"/>
  <c r="H19" i="9"/>
  <c r="D19" i="9" s="1"/>
  <c r="R18" i="9"/>
  <c r="N18" i="9"/>
  <c r="L18" i="9"/>
  <c r="J18" i="9"/>
  <c r="H18" i="9"/>
  <c r="D18" i="9"/>
  <c r="R17" i="9"/>
  <c r="R27" i="9" s="1"/>
  <c r="N17" i="9"/>
  <c r="L17" i="9"/>
  <c r="J17" i="9"/>
  <c r="H17" i="9"/>
  <c r="D17" i="9" s="1"/>
  <c r="N16" i="9"/>
  <c r="L16" i="9"/>
  <c r="J16" i="9"/>
  <c r="H16" i="9"/>
  <c r="N15" i="9"/>
  <c r="L15" i="9"/>
  <c r="J15" i="9"/>
  <c r="J28" i="9" s="1"/>
  <c r="H15" i="9"/>
  <c r="D15" i="9"/>
  <c r="N14" i="9"/>
  <c r="L14" i="9"/>
  <c r="L28" i="9" s="1"/>
  <c r="J14" i="9"/>
  <c r="H14" i="9"/>
  <c r="H28" i="9" s="1"/>
  <c r="D14" i="9"/>
  <c r="N37" i="9" l="1"/>
  <c r="N43" i="9" s="1"/>
  <c r="N35" i="9"/>
  <c r="L39" i="9"/>
  <c r="L33" i="9"/>
  <c r="J39" i="9"/>
  <c r="J33" i="9"/>
  <c r="H39" i="9"/>
  <c r="H33" i="9"/>
  <c r="M35" i="9"/>
  <c r="M41" i="9" s="1"/>
  <c r="M37" i="9"/>
  <c r="M43" i="9" s="1"/>
  <c r="G29" i="9"/>
  <c r="G33" i="9" s="1"/>
  <c r="N39" i="9"/>
  <c r="I35" i="9"/>
  <c r="I41" i="9" s="1"/>
  <c r="I37" i="9"/>
  <c r="I43" i="9" s="1"/>
  <c r="K33" i="9"/>
  <c r="G39" i="9"/>
  <c r="K39" i="9"/>
  <c r="G37" i="9" l="1"/>
  <c r="G43" i="9" s="1"/>
  <c r="G35" i="9"/>
  <c r="G41" i="9" s="1"/>
  <c r="H37" i="9"/>
  <c r="H43" i="9" s="1"/>
  <c r="C63" i="9" s="1"/>
  <c r="C64" i="9" s="1"/>
  <c r="H35" i="9"/>
  <c r="H41" i="9" s="1"/>
  <c r="N41" i="9"/>
  <c r="J37" i="9"/>
  <c r="J43" i="9" s="1"/>
  <c r="J35" i="9"/>
  <c r="L37" i="9"/>
  <c r="L43" i="9" s="1"/>
  <c r="L35" i="9"/>
  <c r="K37" i="9"/>
  <c r="K43" i="9" s="1"/>
  <c r="K35" i="9"/>
  <c r="K41" i="9" s="1"/>
  <c r="J41" i="9"/>
  <c r="L41" i="9" l="1"/>
  <c r="I24" i="8" l="1"/>
  <c r="I26" i="8" s="1"/>
  <c r="K19" i="8"/>
  <c r="I19" i="8"/>
  <c r="G19" i="8"/>
  <c r="F19" i="8"/>
  <c r="C19" i="8"/>
  <c r="L17" i="8"/>
  <c r="J17" i="8"/>
  <c r="L16" i="8"/>
  <c r="J16" i="8"/>
  <c r="H16" i="8"/>
  <c r="H19" i="8" s="1"/>
  <c r="L15" i="8"/>
  <c r="J15" i="8"/>
  <c r="H15" i="8"/>
  <c r="L14" i="8"/>
  <c r="L19" i="8" s="1"/>
  <c r="J14" i="8"/>
  <c r="J19" i="8" s="1"/>
  <c r="H14" i="8"/>
  <c r="J30" i="8" l="1"/>
  <c r="J24" i="8"/>
  <c r="H24" i="8"/>
  <c r="H30" i="8"/>
  <c r="L24" i="8"/>
  <c r="L30" i="8"/>
  <c r="I28" i="8"/>
  <c r="I34" i="8" s="1"/>
  <c r="G30" i="8"/>
  <c r="K30" i="8"/>
  <c r="I32" i="8"/>
  <c r="G24" i="8"/>
  <c r="K24" i="8"/>
  <c r="I30" i="8"/>
  <c r="K28" i="8" l="1"/>
  <c r="K34" i="8" s="1"/>
  <c r="K26" i="8"/>
  <c r="K32" i="8" s="1"/>
  <c r="H28" i="8"/>
  <c r="H34" i="8" s="1"/>
  <c r="H26" i="8"/>
  <c r="L28" i="8"/>
  <c r="L34" i="8" s="1"/>
  <c r="L26" i="8"/>
  <c r="J26" i="8"/>
  <c r="J32" i="8" s="1"/>
  <c r="J28" i="8"/>
  <c r="J34" i="8" s="1"/>
  <c r="G28" i="8"/>
  <c r="G34" i="8" s="1"/>
  <c r="G26" i="8"/>
  <c r="H32" i="8"/>
  <c r="G32" i="8" l="1"/>
  <c r="L32" i="8"/>
  <c r="I39" i="7" l="1"/>
  <c r="I41" i="7" s="1"/>
  <c r="L34" i="7"/>
  <c r="K34" i="7"/>
  <c r="I34" i="7"/>
  <c r="G34" i="7"/>
  <c r="F34" i="7"/>
  <c r="J32" i="7"/>
  <c r="H32" i="7"/>
  <c r="J31" i="7"/>
  <c r="H31" i="7"/>
  <c r="J30" i="7"/>
  <c r="H30" i="7"/>
  <c r="J29" i="7"/>
  <c r="H29" i="7"/>
  <c r="J28" i="7"/>
  <c r="H28" i="7"/>
  <c r="J27" i="7"/>
  <c r="H27" i="7"/>
  <c r="J26" i="7"/>
  <c r="H26" i="7"/>
  <c r="J25" i="7"/>
  <c r="H25" i="7"/>
  <c r="J24" i="7"/>
  <c r="H24" i="7"/>
  <c r="J23" i="7"/>
  <c r="H23" i="7"/>
  <c r="J22" i="7"/>
  <c r="H22" i="7"/>
  <c r="J21" i="7"/>
  <c r="H21" i="7"/>
  <c r="J20" i="7"/>
  <c r="H20" i="7"/>
  <c r="J19" i="7"/>
  <c r="H19" i="7"/>
  <c r="J18" i="7"/>
  <c r="H18" i="7"/>
  <c r="J17" i="7"/>
  <c r="H17" i="7"/>
  <c r="J16" i="7"/>
  <c r="H16" i="7"/>
  <c r="J15" i="7"/>
  <c r="H15" i="7"/>
  <c r="J14" i="7"/>
  <c r="J34" i="7" s="1"/>
  <c r="H14" i="7"/>
  <c r="H34" i="7" s="1"/>
  <c r="H39" i="7" l="1"/>
  <c r="H45" i="7"/>
  <c r="J45" i="7"/>
  <c r="J39" i="7"/>
  <c r="I43" i="7"/>
  <c r="I49" i="7" s="1"/>
  <c r="G45" i="7"/>
  <c r="K45" i="7"/>
  <c r="I47" i="7"/>
  <c r="L45" i="7"/>
  <c r="G39" i="7"/>
  <c r="K39" i="7"/>
  <c r="I45" i="7"/>
  <c r="L39" i="7"/>
  <c r="K43" i="7" l="1"/>
  <c r="K49" i="7" s="1"/>
  <c r="K41" i="7"/>
  <c r="K47" i="7" s="1"/>
  <c r="G43" i="7"/>
  <c r="G49" i="7" s="1"/>
  <c r="G41" i="7"/>
  <c r="G47" i="7" s="1"/>
  <c r="L43" i="7"/>
  <c r="L49" i="7" s="1"/>
  <c r="L41" i="7"/>
  <c r="L47" i="7" s="1"/>
  <c r="H43" i="7"/>
  <c r="H49" i="7" s="1"/>
  <c r="H41" i="7"/>
  <c r="H47" i="7" s="1"/>
  <c r="J41" i="7"/>
  <c r="J47" i="7" s="1"/>
  <c r="J43" i="7"/>
  <c r="J49" i="7" s="1"/>
  <c r="N92" i="6" l="1"/>
  <c r="N91" i="6"/>
  <c r="M128" i="6"/>
  <c r="K128" i="6"/>
  <c r="M127" i="6"/>
  <c r="K127" i="6"/>
  <c r="I127" i="6"/>
  <c r="M126" i="6"/>
  <c r="K126" i="6"/>
  <c r="M125" i="6"/>
  <c r="K125" i="6"/>
  <c r="L101" i="6"/>
  <c r="H101" i="6"/>
  <c r="L97" i="6"/>
  <c r="H97" i="6"/>
  <c r="L95" i="6"/>
  <c r="H95" i="6"/>
  <c r="L90" i="6"/>
  <c r="J90" i="6"/>
  <c r="J105" i="6" s="1"/>
  <c r="H90" i="6"/>
  <c r="G90" i="6"/>
  <c r="E90" i="6"/>
  <c r="M88" i="6"/>
  <c r="K88" i="6"/>
  <c r="M87" i="6"/>
  <c r="K87" i="6"/>
  <c r="M86" i="6"/>
  <c r="K86" i="6"/>
  <c r="I86" i="6"/>
  <c r="M85" i="6"/>
  <c r="K85" i="6"/>
  <c r="M84" i="6"/>
  <c r="K84" i="6"/>
  <c r="M83" i="6"/>
  <c r="K83" i="6"/>
  <c r="M82" i="6"/>
  <c r="K82" i="6"/>
  <c r="I82" i="6"/>
  <c r="M81" i="6"/>
  <c r="K81" i="6"/>
  <c r="M80" i="6"/>
  <c r="K80" i="6"/>
  <c r="M79" i="6"/>
  <c r="K79" i="6"/>
  <c r="M78" i="6"/>
  <c r="K78" i="6"/>
  <c r="I78" i="6"/>
  <c r="M77" i="6"/>
  <c r="K77" i="6"/>
  <c r="M75" i="6"/>
  <c r="K75" i="6"/>
  <c r="M74" i="6"/>
  <c r="K74" i="6"/>
  <c r="M67" i="6"/>
  <c r="K67" i="6"/>
  <c r="M66" i="6"/>
  <c r="K66" i="6"/>
  <c r="I66" i="6"/>
  <c r="M65" i="6"/>
  <c r="K65" i="6"/>
  <c r="I65" i="6"/>
  <c r="K64" i="6"/>
  <c r="K63" i="6"/>
  <c r="I63" i="6"/>
  <c r="K62" i="6"/>
  <c r="K61" i="6"/>
  <c r="I61" i="6"/>
  <c r="K60" i="6"/>
  <c r="K59" i="6"/>
  <c r="I59" i="6"/>
  <c r="K58" i="6"/>
  <c r="K57" i="6"/>
  <c r="I57" i="6"/>
  <c r="K56" i="6"/>
  <c r="K55" i="6"/>
  <c r="I55" i="6"/>
  <c r="K54" i="6"/>
  <c r="K53" i="6"/>
  <c r="I53" i="6"/>
  <c r="M52" i="6"/>
  <c r="K52" i="6"/>
  <c r="M51" i="6"/>
  <c r="K51" i="6"/>
  <c r="M50" i="6"/>
  <c r="K50" i="6"/>
  <c r="M49" i="6"/>
  <c r="K49" i="6"/>
  <c r="I49" i="6"/>
  <c r="M48" i="6"/>
  <c r="K48" i="6"/>
  <c r="M47" i="6"/>
  <c r="K47" i="6"/>
  <c r="M46" i="6"/>
  <c r="K46" i="6"/>
  <c r="M45" i="6"/>
  <c r="K45" i="6"/>
  <c r="I45" i="6"/>
  <c r="M44" i="6"/>
  <c r="K44" i="6"/>
  <c r="M43" i="6"/>
  <c r="K43" i="6"/>
  <c r="M42" i="6"/>
  <c r="K42" i="6"/>
  <c r="M41" i="6"/>
  <c r="K41" i="6"/>
  <c r="I41" i="6"/>
  <c r="M40" i="6"/>
  <c r="K40" i="6"/>
  <c r="M39" i="6"/>
  <c r="K39" i="6"/>
  <c r="M38" i="6"/>
  <c r="K38" i="6"/>
  <c r="M37" i="6"/>
  <c r="K37" i="6"/>
  <c r="I37" i="6"/>
  <c r="M36" i="6"/>
  <c r="K36" i="6"/>
  <c r="M35" i="6"/>
  <c r="K35" i="6"/>
  <c r="M34" i="6"/>
  <c r="K34" i="6"/>
  <c r="M33" i="6"/>
  <c r="K33" i="6"/>
  <c r="I33" i="6"/>
  <c r="M32" i="6"/>
  <c r="K32" i="6"/>
  <c r="M31" i="6"/>
  <c r="K31" i="6"/>
  <c r="M30" i="6"/>
  <c r="K30" i="6"/>
  <c r="M29" i="6"/>
  <c r="K29" i="6"/>
  <c r="I29" i="6"/>
  <c r="M28" i="6"/>
  <c r="K28" i="6"/>
  <c r="M27" i="6"/>
  <c r="K27" i="6"/>
  <c r="M26" i="6"/>
  <c r="K26" i="6"/>
  <c r="M25" i="6"/>
  <c r="K25" i="6"/>
  <c r="I25" i="6"/>
  <c r="M24" i="6"/>
  <c r="K24" i="6"/>
  <c r="M23" i="6"/>
  <c r="K23" i="6"/>
  <c r="M22" i="6"/>
  <c r="K22" i="6"/>
  <c r="M21" i="6"/>
  <c r="K21" i="6"/>
  <c r="I21" i="6"/>
  <c r="M20" i="6"/>
  <c r="K20" i="6"/>
  <c r="M19" i="6"/>
  <c r="K19" i="6"/>
  <c r="M18" i="6"/>
  <c r="K18" i="6"/>
  <c r="M17" i="6"/>
  <c r="K17" i="6"/>
  <c r="I17" i="6"/>
  <c r="M16" i="6"/>
  <c r="K16" i="6"/>
  <c r="M15" i="6"/>
  <c r="M90" i="6" s="1"/>
  <c r="K15" i="6"/>
  <c r="M14" i="6"/>
  <c r="K14" i="6"/>
  <c r="K90" i="6" s="1"/>
  <c r="L6" i="6"/>
  <c r="H6" i="6"/>
  <c r="I126" i="6" s="1"/>
  <c r="K95" i="6" l="1"/>
  <c r="K105" i="6"/>
  <c r="K101" i="6"/>
  <c r="L103" i="6"/>
  <c r="M101" i="6"/>
  <c r="M95" i="6"/>
  <c r="J95" i="6"/>
  <c r="I16" i="6"/>
  <c r="I20" i="6"/>
  <c r="I24" i="6"/>
  <c r="I28" i="6"/>
  <c r="I32" i="6"/>
  <c r="I36" i="6"/>
  <c r="I40" i="6"/>
  <c r="I44" i="6"/>
  <c r="I48" i="6"/>
  <c r="I52" i="6"/>
  <c r="I77" i="6"/>
  <c r="I81" i="6"/>
  <c r="I85" i="6"/>
  <c r="I15" i="6"/>
  <c r="I19" i="6"/>
  <c r="I23" i="6"/>
  <c r="I27" i="6"/>
  <c r="I31" i="6"/>
  <c r="I35" i="6"/>
  <c r="I39" i="6"/>
  <c r="I43" i="6"/>
  <c r="I47" i="6"/>
  <c r="I51" i="6"/>
  <c r="I54" i="6"/>
  <c r="I56" i="6"/>
  <c r="I58" i="6"/>
  <c r="I60" i="6"/>
  <c r="I62" i="6"/>
  <c r="I75" i="6"/>
  <c r="I80" i="6"/>
  <c r="I84" i="6"/>
  <c r="I88" i="6"/>
  <c r="H99" i="6"/>
  <c r="H105" i="6" s="1"/>
  <c r="L99" i="6"/>
  <c r="L105" i="6" s="1"/>
  <c r="J101" i="6"/>
  <c r="I125" i="6"/>
  <c r="I14" i="6"/>
  <c r="I18" i="6"/>
  <c r="I22" i="6"/>
  <c r="I26" i="6"/>
  <c r="I30" i="6"/>
  <c r="I34" i="6"/>
  <c r="I38" i="6"/>
  <c r="I42" i="6"/>
  <c r="I46" i="6"/>
  <c r="I50" i="6"/>
  <c r="I74" i="6"/>
  <c r="I79" i="6"/>
  <c r="I83" i="6"/>
  <c r="I87" i="6"/>
  <c r="I128" i="6"/>
  <c r="J97" i="6" l="1"/>
  <c r="J99" i="6"/>
  <c r="M97" i="6"/>
  <c r="M99" i="6"/>
  <c r="M105" i="6" s="1"/>
  <c r="I90" i="6"/>
  <c r="K99" i="6"/>
  <c r="K97" i="6"/>
  <c r="J103" i="6"/>
  <c r="H103" i="6"/>
  <c r="K103" i="6"/>
  <c r="M103" i="6" l="1"/>
  <c r="I101" i="6"/>
  <c r="I95" i="6"/>
  <c r="I97" i="6" l="1"/>
  <c r="I99" i="6"/>
  <c r="I105" i="6" s="1"/>
  <c r="I103" i="6"/>
  <c r="F21" i="4" l="1"/>
  <c r="F20" i="4"/>
  <c r="F19" i="4"/>
  <c r="F18" i="4"/>
  <c r="F17" i="4"/>
  <c r="F16" i="4"/>
  <c r="F15" i="4"/>
  <c r="F14" i="4"/>
  <c r="G6" i="2"/>
  <c r="H6" i="2"/>
  <c r="G29" i="2" s="1"/>
  <c r="G34" i="2" s="1"/>
  <c r="D26" i="5"/>
  <c r="D25" i="5"/>
  <c r="D24" i="5"/>
  <c r="D22" i="5"/>
  <c r="D19" i="5"/>
  <c r="D18" i="5"/>
  <c r="D15" i="5"/>
  <c r="P39" i="5" l="1"/>
  <c r="L39" i="5"/>
  <c r="H39" i="5"/>
  <c r="P35" i="5"/>
  <c r="L35" i="5"/>
  <c r="H35" i="5"/>
  <c r="P33" i="5"/>
  <c r="N33" i="5"/>
  <c r="N35" i="5" s="1"/>
  <c r="L33" i="5"/>
  <c r="J33" i="5"/>
  <c r="J35" i="5" s="1"/>
  <c r="H33" i="5"/>
  <c r="T28" i="5"/>
  <c r="P28" i="5"/>
  <c r="N28" i="5"/>
  <c r="L28" i="5"/>
  <c r="J28" i="5"/>
  <c r="J43" i="5" s="1"/>
  <c r="H28" i="5"/>
  <c r="G28" i="5"/>
  <c r="Q26" i="5"/>
  <c r="O26" i="5"/>
  <c r="I26" i="5"/>
  <c r="Q25" i="5"/>
  <c r="O25" i="5"/>
  <c r="M25" i="5"/>
  <c r="K25" i="5"/>
  <c r="I25" i="5"/>
  <c r="Q24" i="5"/>
  <c r="O24" i="5"/>
  <c r="M24" i="5"/>
  <c r="I24" i="5"/>
  <c r="Q23" i="5"/>
  <c r="O23" i="5"/>
  <c r="I23" i="5"/>
  <c r="Q22" i="5"/>
  <c r="O22" i="5"/>
  <c r="I22" i="5"/>
  <c r="Q21" i="5"/>
  <c r="O21" i="5"/>
  <c r="M21" i="5"/>
  <c r="K21" i="5"/>
  <c r="I21" i="5"/>
  <c r="Q20" i="5"/>
  <c r="O20" i="5"/>
  <c r="M20" i="5"/>
  <c r="I20" i="5"/>
  <c r="Q19" i="5"/>
  <c r="O19" i="5"/>
  <c r="I19" i="5"/>
  <c r="Q18" i="5"/>
  <c r="O18" i="5"/>
  <c r="I18" i="5"/>
  <c r="Q17" i="5"/>
  <c r="O17" i="5"/>
  <c r="M17" i="5"/>
  <c r="K17" i="5"/>
  <c r="I17" i="5"/>
  <c r="Q16" i="5"/>
  <c r="O16" i="5"/>
  <c r="M16" i="5"/>
  <c r="I16" i="5"/>
  <c r="Q15" i="5"/>
  <c r="O15" i="5"/>
  <c r="O28" i="5" s="1"/>
  <c r="I15" i="5"/>
  <c r="Q14" i="5"/>
  <c r="Q28" i="5" s="1"/>
  <c r="O14" i="5"/>
  <c r="I14" i="5"/>
  <c r="I28" i="5" s="1"/>
  <c r="L6" i="5"/>
  <c r="M23" i="5" s="1"/>
  <c r="J6" i="5"/>
  <c r="K24" i="5" s="1"/>
  <c r="Q33" i="5" l="1"/>
  <c r="Q39" i="5"/>
  <c r="L41" i="5"/>
  <c r="I33" i="5"/>
  <c r="I39" i="5"/>
  <c r="O39" i="5"/>
  <c r="O33" i="5"/>
  <c r="J37" i="5"/>
  <c r="N37" i="5"/>
  <c r="N41" i="5" s="1"/>
  <c r="J41" i="5"/>
  <c r="K14" i="5"/>
  <c r="K18" i="5"/>
  <c r="K22" i="5"/>
  <c r="K26" i="5"/>
  <c r="M14" i="5"/>
  <c r="K15" i="5"/>
  <c r="M18" i="5"/>
  <c r="K19" i="5"/>
  <c r="M22" i="5"/>
  <c r="K23" i="5"/>
  <c r="M26" i="5"/>
  <c r="H37" i="5"/>
  <c r="H43" i="5" s="1"/>
  <c r="L37" i="5"/>
  <c r="L43" i="5" s="1"/>
  <c r="P37" i="5"/>
  <c r="P43" i="5" s="1"/>
  <c r="J39" i="5"/>
  <c r="N39" i="5"/>
  <c r="M6" i="5"/>
  <c r="M15" i="5"/>
  <c r="K16" i="5"/>
  <c r="M19" i="5"/>
  <c r="K20" i="5"/>
  <c r="O35" i="5" l="1"/>
  <c r="O37" i="5"/>
  <c r="O43" i="5" s="1"/>
  <c r="M28" i="5"/>
  <c r="K28" i="5"/>
  <c r="N43" i="5"/>
  <c r="P41" i="5"/>
  <c r="I37" i="5"/>
  <c r="I43" i="5" s="1"/>
  <c r="I35" i="5"/>
  <c r="I41" i="5" s="1"/>
  <c r="H41" i="5"/>
  <c r="Q37" i="5"/>
  <c r="Q43" i="5" s="1"/>
  <c r="Q35" i="5"/>
  <c r="Q41" i="5" s="1"/>
  <c r="O41" i="5" l="1"/>
  <c r="K43" i="5"/>
  <c r="K39" i="5"/>
  <c r="K33" i="5"/>
  <c r="M33" i="5"/>
  <c r="M39" i="5"/>
  <c r="K35" i="5" l="1"/>
  <c r="K41" i="5" s="1"/>
  <c r="K37" i="5"/>
  <c r="M37" i="5"/>
  <c r="M43" i="5" s="1"/>
  <c r="M35" i="5"/>
  <c r="M41" i="5" s="1"/>
  <c r="H40" i="4" l="1"/>
  <c r="L36" i="4"/>
  <c r="J36" i="4"/>
  <c r="H36" i="4"/>
  <c r="J26" i="4"/>
  <c r="N25" i="4"/>
  <c r="M25" i="4"/>
  <c r="L25" i="4"/>
  <c r="L26" i="4" s="1"/>
  <c r="K25" i="4"/>
  <c r="J25" i="4"/>
  <c r="I25" i="4"/>
  <c r="I40" i="4" s="1"/>
  <c r="H25" i="4"/>
  <c r="H26" i="4" s="1"/>
  <c r="F25" i="4"/>
  <c r="F36" i="4" s="1"/>
  <c r="E25" i="4"/>
  <c r="I21" i="4"/>
  <c r="I20" i="4"/>
  <c r="I19" i="4"/>
  <c r="I18" i="4"/>
  <c r="I17" i="4"/>
  <c r="I16" i="4"/>
  <c r="I15" i="4"/>
  <c r="I14" i="4"/>
  <c r="G25" i="4"/>
  <c r="F6" i="4"/>
  <c r="F26" i="4" l="1"/>
  <c r="G36" i="4"/>
  <c r="G30" i="4"/>
  <c r="H30" i="4"/>
  <c r="L34" i="4"/>
  <c r="L40" i="4" s="1"/>
  <c r="F30" i="4"/>
  <c r="J30" i="4"/>
  <c r="K30" i="4"/>
  <c r="K36" i="4"/>
  <c r="I30" i="4"/>
  <c r="M34" i="4"/>
  <c r="M40" i="4" s="1"/>
  <c r="I36" i="4"/>
  <c r="M36" i="4"/>
  <c r="M38" i="4"/>
  <c r="I34" i="4" l="1"/>
  <c r="I32" i="4"/>
  <c r="J32" i="4"/>
  <c r="J38" i="4" s="1"/>
  <c r="J34" i="4"/>
  <c r="J40" i="4" s="1"/>
  <c r="H34" i="4"/>
  <c r="H32" i="4"/>
  <c r="H38" i="4" s="1"/>
  <c r="G32" i="4"/>
  <c r="G34" i="4"/>
  <c r="G40" i="4" s="1"/>
  <c r="K32" i="4"/>
  <c r="K34" i="4"/>
  <c r="K40" i="4" s="1"/>
  <c r="I38" i="4"/>
  <c r="F32" i="4"/>
  <c r="F34" i="4"/>
  <c r="F40" i="4" s="1"/>
  <c r="L38" i="4"/>
  <c r="G38" i="4" l="1"/>
  <c r="K38" i="4"/>
  <c r="I4" i="4"/>
  <c r="F38" i="4"/>
  <c r="H95" i="3"/>
  <c r="F19" i="22" l="1"/>
  <c r="F21" i="14"/>
  <c r="F93" i="3"/>
</calcChain>
</file>

<file path=xl/comments1.xml><?xml version="1.0" encoding="utf-8"?>
<comments xmlns="http://schemas.openxmlformats.org/spreadsheetml/2006/main">
  <authors>
    <author>Pravin Nerkar</author>
    <author>pravin nerkar</author>
  </authors>
  <commentList>
    <comment ref="I13" authorId="0">
      <text>
        <r>
          <rPr>
            <b/>
            <sz val="9"/>
            <color indexed="81"/>
            <rFont val="Tahoma"/>
            <family val="2"/>
          </rPr>
          <t>Pravin Nerkar:</t>
        </r>
        <r>
          <rPr>
            <sz val="9"/>
            <color indexed="81"/>
            <rFont val="Tahoma"/>
            <family val="2"/>
          </rPr>
          <t xml:space="preserve">
Offer is not given for SS316L MOC 80NB Strainer</t>
        </r>
      </text>
    </comment>
    <comment ref="J13" authorId="0">
      <text>
        <r>
          <rPr>
            <b/>
            <sz val="9"/>
            <color indexed="81"/>
            <rFont val="Tahoma"/>
            <family val="2"/>
          </rPr>
          <t>Pravin Nerkar:</t>
        </r>
        <r>
          <rPr>
            <sz val="9"/>
            <color indexed="81"/>
            <rFont val="Tahoma"/>
            <family val="2"/>
          </rPr>
          <t xml:space="preserve">
Offer is not given for SS316L MOC 80NB Strainer</t>
        </r>
      </text>
    </comment>
    <comment ref="J19" authorId="1">
      <text>
        <r>
          <rPr>
            <b/>
            <sz val="9"/>
            <color indexed="81"/>
            <rFont val="Tahoma"/>
            <family val="2"/>
          </rPr>
          <t>pravin nerkar:</t>
        </r>
        <r>
          <rPr>
            <sz val="9"/>
            <color indexed="81"/>
            <rFont val="Tahoma"/>
            <family val="2"/>
          </rPr>
          <t xml:space="preserve">
PMI Inspection charges Rs.3500 added</t>
        </r>
      </text>
    </comment>
  </commentList>
</comments>
</file>

<file path=xl/comments2.xml><?xml version="1.0" encoding="utf-8"?>
<comments xmlns="http://schemas.openxmlformats.org/spreadsheetml/2006/main">
  <authors>
    <author>pravin nerkar</author>
  </authors>
  <commentList>
    <comment ref="L7" authorId="0">
      <text>
        <r>
          <rPr>
            <b/>
            <sz val="9"/>
            <color indexed="81"/>
            <rFont val="Tahoma"/>
            <family val="2"/>
          </rPr>
          <t>pravin nerkar:</t>
        </r>
        <r>
          <rPr>
            <sz val="9"/>
            <color indexed="81"/>
            <rFont val="Tahoma"/>
            <family val="2"/>
          </rPr>
          <t xml:space="preserve">
Unable to provide Authorised dealer/Distribotor certificate henoffer is not Valid</t>
        </r>
      </text>
    </comment>
  </commentList>
</comments>
</file>

<file path=xl/comments3.xml><?xml version="1.0" encoding="utf-8"?>
<comments xmlns="http://schemas.openxmlformats.org/spreadsheetml/2006/main">
  <authors>
    <author>pravin nerkar</author>
  </authors>
  <commentList>
    <comment ref="L7" authorId="0">
      <text>
        <r>
          <rPr>
            <b/>
            <sz val="9"/>
            <color indexed="81"/>
            <rFont val="Tahoma"/>
            <family val="2"/>
          </rPr>
          <t>pravin nerkar:</t>
        </r>
        <r>
          <rPr>
            <sz val="9"/>
            <color indexed="81"/>
            <rFont val="Tahoma"/>
            <family val="2"/>
          </rPr>
          <t xml:space="preserve">
Unable to provide Authorised dealer/Distribotor certificate henoffer is not Valid</t>
        </r>
      </text>
    </comment>
  </commentList>
</comments>
</file>

<file path=xl/comments4.xml><?xml version="1.0" encoding="utf-8"?>
<comments xmlns="http://schemas.openxmlformats.org/spreadsheetml/2006/main">
  <authors>
    <author>pravin nerkar</author>
  </authors>
  <commentList>
    <comment ref="G26" authorId="0">
      <text>
        <r>
          <rPr>
            <b/>
            <sz val="9"/>
            <color indexed="81"/>
            <rFont val="Tahoma"/>
            <family val="2"/>
          </rPr>
          <t>pravin nerkar:</t>
        </r>
        <r>
          <rPr>
            <sz val="9"/>
            <color indexed="81"/>
            <rFont val="Tahoma"/>
            <family val="2"/>
          </rPr>
          <t xml:space="preserve">
PMI Inspection charges Rs.3500 added</t>
        </r>
      </text>
    </comment>
  </commentList>
</comments>
</file>

<file path=xl/comments5.xml><?xml version="1.0" encoding="utf-8"?>
<comments xmlns="http://schemas.openxmlformats.org/spreadsheetml/2006/main">
  <authors>
    <author>pravin nerkar</author>
  </authors>
  <commentList>
    <comment ref="C13" authorId="0">
      <text>
        <r>
          <rPr>
            <b/>
            <sz val="9"/>
            <color indexed="81"/>
            <rFont val="Tahoma"/>
            <family val="2"/>
          </rPr>
          <t>pravin nerkar:</t>
        </r>
        <r>
          <rPr>
            <sz val="9"/>
            <color indexed="81"/>
            <rFont val="Tahoma"/>
            <family val="2"/>
          </rPr>
          <t xml:space="preserve">
KHD valve LPO rate 3000025720 dated 18.11.2015</t>
        </r>
      </text>
    </comment>
    <comment ref="G13" authorId="0">
      <text>
        <r>
          <rPr>
            <b/>
            <sz val="9"/>
            <color indexed="81"/>
            <rFont val="Tahoma"/>
            <family val="2"/>
          </rPr>
          <t>pravin nerkar:</t>
        </r>
        <r>
          <rPr>
            <sz val="9"/>
            <color indexed="81"/>
            <rFont val="Tahoma"/>
            <family val="2"/>
          </rPr>
          <t xml:space="preserve">
Delta valve LPO rates against LPO 3000029982 dated 19.04.2016</t>
        </r>
      </text>
    </comment>
    <comment ref="H13" authorId="0">
      <text>
        <r>
          <rPr>
            <b/>
            <sz val="9"/>
            <color indexed="81"/>
            <rFont val="Tahoma"/>
            <family val="2"/>
          </rPr>
          <t>pravin nerkar:</t>
        </r>
        <r>
          <rPr>
            <sz val="9"/>
            <color indexed="81"/>
            <rFont val="Tahoma"/>
            <family val="2"/>
          </rPr>
          <t xml:space="preserve">
KHD valve LPO rate 3000025720 dated 18.11.2015</t>
        </r>
      </text>
    </comment>
    <comment ref="I13" authorId="0">
      <text>
        <r>
          <rPr>
            <b/>
            <sz val="9"/>
            <color indexed="81"/>
            <rFont val="Tahoma"/>
            <family val="2"/>
          </rPr>
          <t>pravin nerkar:</t>
        </r>
        <r>
          <rPr>
            <sz val="9"/>
            <color indexed="81"/>
            <rFont val="Tahoma"/>
            <family val="2"/>
          </rPr>
          <t xml:space="preserve">
KHD valve LPO rate 3000025720 dated 18.11.2015</t>
        </r>
      </text>
    </comment>
    <comment ref="G22" authorId="0">
      <text>
        <r>
          <rPr>
            <b/>
            <sz val="9"/>
            <color indexed="81"/>
            <rFont val="Tahoma"/>
            <family val="2"/>
          </rPr>
          <t>pravin nerkar:</t>
        </r>
        <r>
          <rPr>
            <sz val="9"/>
            <color indexed="81"/>
            <rFont val="Tahoma"/>
            <family val="2"/>
          </rPr>
          <t xml:space="preserve">
PMI Inspection charges Rs.3500 added</t>
        </r>
      </text>
    </comment>
  </commentList>
</comments>
</file>

<file path=xl/sharedStrings.xml><?xml version="1.0" encoding="utf-8"?>
<sst xmlns="http://schemas.openxmlformats.org/spreadsheetml/2006/main" count="9413" uniqueCount="2149">
  <si>
    <t>Cost Improvement</t>
  </si>
  <si>
    <t>Cost Avoidance</t>
  </si>
  <si>
    <t>Current Year</t>
  </si>
  <si>
    <t>Last Year</t>
  </si>
  <si>
    <t>Item</t>
  </si>
  <si>
    <t>savings (in Rs)</t>
  </si>
  <si>
    <t>PO no with date</t>
  </si>
  <si>
    <t>earlier PO No with date</t>
  </si>
  <si>
    <t>Purchaser</t>
  </si>
  <si>
    <t>applicable Time Period</t>
  </si>
  <si>
    <t>considered time period</t>
  </si>
  <si>
    <t>Pravin Nerkar</t>
  </si>
  <si>
    <t>3000018609 Dated 17.03.2015</t>
  </si>
  <si>
    <t>Uni Klinger Ltd</t>
  </si>
  <si>
    <t>Bellow seal valves for TF Coal heater Project</t>
  </si>
  <si>
    <t>Format Rev 3, 15/02/2015</t>
  </si>
  <si>
    <t>VVF(INDIA) LTD.</t>
  </si>
  <si>
    <t>QUOTATION COMPARATIVE STATEMENT</t>
  </si>
  <si>
    <t>PR NO.</t>
  </si>
  <si>
    <t>Capex Total Amt Rs.:</t>
  </si>
  <si>
    <t>Cost Considered in the Capex for this item</t>
  </si>
  <si>
    <t>L2-L1 Difference</t>
  </si>
  <si>
    <t>Plant:</t>
  </si>
  <si>
    <t>Taloja Plant</t>
  </si>
  <si>
    <t>QCS Prepare Date</t>
  </si>
  <si>
    <t>27/02/2015</t>
  </si>
  <si>
    <t>PR Dt.</t>
  </si>
  <si>
    <t>Asset Code No.</t>
  </si>
  <si>
    <t>P.O.DATE</t>
  </si>
  <si>
    <t>Scheduled Order Date</t>
  </si>
  <si>
    <t>Negotiated Date</t>
  </si>
  <si>
    <t>ITEM NO.</t>
  </si>
  <si>
    <t>S.No.</t>
  </si>
  <si>
    <t>Material Description</t>
  </si>
  <si>
    <t>Last Purchase Price</t>
  </si>
  <si>
    <t>UOM</t>
  </si>
  <si>
    <t>Qty.</t>
  </si>
  <si>
    <t>L2-Bell O Seal Valve Pvt Ltd</t>
  </si>
  <si>
    <t>VALVOLA CORPORATION (Tech. not recommended)</t>
  </si>
  <si>
    <t>L1-Uni klinger Ltd</t>
  </si>
  <si>
    <t>Ref.No:BOS/QTN-M/091/14-15 Dated 16.02.2015</t>
  </si>
  <si>
    <t xml:space="preserve">Reference No. 161/ BSV/ 14-15 Dated 23.02.2015
</t>
  </si>
  <si>
    <t>Offer Ref :BR/FC/14-15/469 / 170 Dated 27/02/2015</t>
  </si>
  <si>
    <t>Rajesh G-09742065100</t>
  </si>
  <si>
    <t>Satish Chindrawar-09820900911</t>
  </si>
  <si>
    <t>Mr.Raghunandan Devipur</t>
  </si>
  <si>
    <t>Unit Price</t>
  </si>
  <si>
    <t xml:space="preserve"> Quoted</t>
  </si>
  <si>
    <t>Negotiated</t>
  </si>
  <si>
    <t>3"X300#_"BOS" Brand Bellow Seal Globe Valves in ASTM-A 216 Gr. WCB, with all internal working parts in AISI-410, Metallic Bellow in AISI-316Ti,Flanged Ends to ASA 300#.
(Valve Code: CCBGL DN80 300# BB-FP INT FLE B16.5 HW)
(Material Code: WCB / 410 / 316Ti / GRAPH / SPW 304+GRAPH / B7-2H)                                            (Body seat :13% Cr. Over Lay                    Plug:Stellite Gr.6)</t>
  </si>
  <si>
    <t>Nos.</t>
  </si>
  <si>
    <t xml:space="preserve">12"X300_"BOS" Brand Bellow Seal Globe Valves in ASTM-A 216 Gr. WCB, with all internal working parts in AISI-410, Metallic Bellow in AISI-316Ti,Flanged Ends to ASA 300#.
(Valve Code: CCBGL DN300 300# BB-FP INT FLE B16.5 GB PR RELF PLUG)
(Material Code: WCB / 410 / 316Ti / GRAPH / SPW 304+GRAPH / B7-2H)                                                          ( Body seat :13% Cr.Over Lay                      Plug:Stellite Gr.6                                                           Pilot Plug:Stellite Gr.6                                                 Pilot Plug Seat :Stellite Gr.6) </t>
  </si>
  <si>
    <t>3"X300#_"BOS" Brand Bellow Seal Globe Valves in ASTM-A 216 Gr. WCB, with all internal working parts in AISI-410, Metallic Bellow in AISI-316Ti,Flanged Ends to ASA 300# .
(Valve Code: CBGT DN80 300# BB-FP REN FLE B16.5 HW)
(Material Code: WCB / 410 / 316Ti / GRAPH / SPW 304+GRAPH / B7-2H)                                                            (Seatring :13% Cr. Over Lay                    Wedge:Stellite Gr.6)</t>
  </si>
  <si>
    <t>4"X300#_"BOS" Brand Bellow Seal Globe Valves in ASTM-A 216 Gr. WCB, with all internal working parts in AISI-410, Metallic Bellow in AISI-316Ti,Flanged Ends to ASA 300# .
(Valve Code: CBGT DN100 300# BB-FP REN FLE B16.5 HW)
(Material Code: WCB / 410 / 316Ti / GRAPH / SPW 304+GRAPH / B7-2H)                                                            (Seatring :13% Cr. Over Lay                    Wedge:Stellite Gr.6)</t>
  </si>
  <si>
    <t>12"X300#_"BOS" Brand Bellow Seal Globe Valves in ASTM-A 216 Gr. WCB, with all internal working parts in AISI-410, Metallic Bellow in AISI-316Ti,Flanged Ends to ASA 300# .
(Valve Code: CBGT DN300 300# BB-FP REN FLE B16.5 GB)
(Material Code: WCB / 410 / 316Ti / GRAPH / SPW 304+GRAPH / B7-2H)                                                            (Seatring :13% Cr. Over Lay                    Wedge:Stellite Gr.6)</t>
  </si>
  <si>
    <t>14"X300#_"BOS" Brand Bellow Seal Globe Valves in ASTM-A 216 Gr. WCB, with all internal working parts in AISI-410, Metallic Bellow in AISI-316Ti,Flanged Ends to ASA 300# .
(Valve Code: CBGT DN350 300# BB-FP REN FLE B16.5 GB)
(Material Code: WCB / 410 / 316Ti / GRAPH / SPW 304+GRAPH / B7-2H)                                                            (Seatring :13% Cr. Over Lay                    Wedge:Stellite Gr.6)</t>
  </si>
  <si>
    <t>16"X300#_"BOS" Brand Bellow Seal Globe Valves in ASTM-A 216 Gr. WCB, with all internal working parts in AISI-410, Metallic Bellow in AISI-316Ti,Flanged Ends to ASA 300# .
(Valve Code: CBGT DN400 300# BB-FP REN FLE B16.5 GB)
(Material Code: WCB / 410 / 316Ti / GRAPH / SPW 304+GRAPH / B7-2H)                                                            (Seatring:13% Cr. Over Lay                    Wedge:Stellite Gr.6)</t>
  </si>
  <si>
    <t xml:space="preserve">1"X800#_BOS Brand Globe Valve, SW ENDS </t>
  </si>
  <si>
    <t>Basic Value (Qty. x Unit Price) Total</t>
  </si>
  <si>
    <t>P&amp;F Charges Value  (Lump sum)</t>
  </si>
  <si>
    <t>Insurance (VVF/Vendor Scope)</t>
  </si>
  <si>
    <t>By Vendor</t>
  </si>
  <si>
    <t>Freight Value (Lump sum)</t>
  </si>
  <si>
    <t>Excise Duty with surchargeetc 12.36 %</t>
  </si>
  <si>
    <t>ED/CVD Value</t>
  </si>
  <si>
    <t>Local Sales Tax - MHVAT 12.5 / 15%</t>
  </si>
  <si>
    <t>VAT Value</t>
  </si>
  <si>
    <t>Central Sales Tax  2 %</t>
  </si>
  <si>
    <t>CST Value</t>
  </si>
  <si>
    <t>Service Tax  OR Work Contract Tax  12.36 %</t>
  </si>
  <si>
    <t>Service Tax Value</t>
  </si>
  <si>
    <t xml:space="preserve">Total Value with Taxes and Duties </t>
  </si>
  <si>
    <t>Total Landed Value Net Of  ED &amp; VAT</t>
  </si>
  <si>
    <t>A</t>
  </si>
  <si>
    <t>Delivery Schedule</t>
  </si>
  <si>
    <t>14-16 Weeks</t>
  </si>
  <si>
    <t>12-14 Weeks</t>
  </si>
  <si>
    <t xml:space="preserve">For 1” NB to 4" NB = 6 weeks
     For 12NB,14 NB =16 Weeks &amp; 16 NB = 30 June 15 from the date of receipt of P.O. along with Advance
</t>
  </si>
  <si>
    <t xml:space="preserve">14 inch Valves – 2 nos – As early as possible for the tie points
16 inch Valves – 2 nos – As early as possible for the tie points
Balance valves up to 14 inch – in 10 to 12 weeks
Balance 16 inch valve – in 12 to 14 weeks
</t>
  </si>
  <si>
    <t>B</t>
  </si>
  <si>
    <t>Inco Terms (F.O.R. Site/Vendors works, CIF Mumbai etc)</t>
  </si>
  <si>
    <t>E x Works Bhilai</t>
  </si>
  <si>
    <t>FOR</t>
  </si>
  <si>
    <t>Extra,Thane</t>
  </si>
  <si>
    <t>E x Works Ahmednager</t>
  </si>
  <si>
    <t>C</t>
  </si>
  <si>
    <t>Payment Terms</t>
  </si>
  <si>
    <t>40% of basic PO value as advance with 60 % of basic PO value plus taxes and
duties against readyness of material.</t>
  </si>
  <si>
    <t>20% Advance against ABG,70% against PI prior to dispatch &amp; 10% against PBG</t>
  </si>
  <si>
    <t>30% Advance &amp; balance against Proforma Invoice</t>
  </si>
  <si>
    <t>D</t>
  </si>
  <si>
    <t>Inspection &amp; Testing VVF/TPI</t>
  </si>
  <si>
    <t>TPI-TUV</t>
  </si>
  <si>
    <t>E</t>
  </si>
  <si>
    <t>Delivery Tolerance</t>
  </si>
  <si>
    <t>F</t>
  </si>
  <si>
    <t>Guarantee</t>
  </si>
  <si>
    <t>18 Months supply date &amp; 12 months from the date of installation, whichever is earlier.</t>
  </si>
  <si>
    <t xml:space="preserve"> 12 months from the date of commissioning or 18 months from the date of dispatch
of dispatch against manufacturing defects for the items supplied.</t>
  </si>
  <si>
    <t>G</t>
  </si>
  <si>
    <t>Penalty Clause</t>
  </si>
  <si>
    <t>1% per Week to 5% max of Total Order Value(Inclusive Taxes &amp; duties)</t>
  </si>
  <si>
    <t xml:space="preserve">Note : </t>
  </si>
  <si>
    <t xml:space="preserve">Technical Recommendation : </t>
  </si>
  <si>
    <t>Recommendation for order :</t>
  </si>
  <si>
    <t xml:space="preserve">PREPARED BY : </t>
  </si>
  <si>
    <t>VERIFIED BY</t>
  </si>
  <si>
    <t>APPROVED BY</t>
  </si>
  <si>
    <t>Remarks</t>
  </si>
  <si>
    <t>M/S Volvola was alternative vendor  suggested by User ,after vendor evaluation M/S Valvola was not found Technicaly satisfactory,decision was almost in favor of M/S Bello-Seal valve Pvt Ltd,on short time span we suceed to get offer from M/S Unikinger Ltd with Technical vendor evaluation &amp; qualification.</t>
  </si>
  <si>
    <t>3000019603 Dated 21.04.2015</t>
  </si>
  <si>
    <t>S.Sevantilal &amp; Co.</t>
  </si>
  <si>
    <t>42 Nos.</t>
  </si>
  <si>
    <t>Qty Purchased (UOM)</t>
  </si>
  <si>
    <t>JINDAL/MSL CS Pipes</t>
  </si>
  <si>
    <t>SEVANTILAL &amp; SONS PVT. LTD.</t>
  </si>
  <si>
    <t>Superior Steel Industries</t>
  </si>
  <si>
    <t>S.SEVENTILAL &amp; CO.</t>
  </si>
  <si>
    <t>BHUSHAN TUBES PVT.LTD</t>
  </si>
  <si>
    <t>TECHNO TUBE ENGINEERING CO.</t>
  </si>
  <si>
    <t>Ref.E-mail Offer  Dated 07.04.2015</t>
  </si>
  <si>
    <t>Ref. No.: SSI/Q-26027VVF/2015-16
Date: 10/04/2015</t>
  </si>
  <si>
    <t>Ref.to Email-Offer dated 7/04/2015</t>
  </si>
  <si>
    <t>Ref. No. BTPL/Q/0009A/2015-16 Dated 06.04.2015</t>
  </si>
  <si>
    <t xml:space="preserve">TTE/VVF/Pipes Fittings/304/2015-2016 </t>
  </si>
  <si>
    <t>Last PO No &amp; Date</t>
  </si>
  <si>
    <t>Of S.Sevantilal &amp; Sevantilal sons</t>
  </si>
  <si>
    <t>Arpan Maniar-22 4004 3601/02</t>
  </si>
  <si>
    <t xml:space="preserve">Ms.Meera-+91-22-66287916 </t>
  </si>
  <si>
    <t>Mr.Valmik Maniar-022-43474496 to 99</t>
  </si>
  <si>
    <t>ASHISH KUMAR JHA 08826638668</t>
  </si>
  <si>
    <t>Mr.Maulik Gandhi</t>
  </si>
  <si>
    <t>On lowest quoted rate Total</t>
  </si>
  <si>
    <t>PIPE AS ASTM A335 GR.P11 3/4" SCH160</t>
  </si>
  <si>
    <t>M</t>
  </si>
  <si>
    <t>1100014935</t>
  </si>
  <si>
    <t>00010</t>
  </si>
  <si>
    <t>PIPE CS-ASTMA106GRB 3" SMLS SCH40</t>
  </si>
  <si>
    <t>2010003044 dated 11.07.2012</t>
  </si>
  <si>
    <t>1100014919</t>
  </si>
  <si>
    <t>00050</t>
  </si>
  <si>
    <t>PIPE CS A106 GR B ANSI B36.10 16" SCH 40</t>
  </si>
  <si>
    <t>1100014898</t>
  </si>
  <si>
    <t>PIPE CS A106 ANSI B36.10 14" SCH40</t>
  </si>
  <si>
    <t>1100014902</t>
  </si>
  <si>
    <t>PIPE CS-ASTMA106GRB 1/2" SMLS SCH80</t>
  </si>
  <si>
    <t>2010000528 dated 26.04.2012</t>
  </si>
  <si>
    <t>00020</t>
  </si>
  <si>
    <t>PIPE CS-ASTMA106GRB 1" SMLS SCH80</t>
  </si>
  <si>
    <t>300002074 dated 13.08.2013</t>
  </si>
  <si>
    <t>00030</t>
  </si>
  <si>
    <t>PIPE CS-ASTMA106GRB 1.1/2" SMLS SCH80</t>
  </si>
  <si>
    <t>00040</t>
  </si>
  <si>
    <t>PIPE CS-ASTMA106GRB 12" SMLS SCH40</t>
  </si>
  <si>
    <t>1100014903</t>
  </si>
  <si>
    <t>PIPE CS A106 ANSI B36.10 10" SCH40</t>
  </si>
  <si>
    <t>2010001375 dated 17.05.2012</t>
  </si>
  <si>
    <t>PIPE CS-ASTMA106GRB 2" SMLS SCH40</t>
  </si>
  <si>
    <t>PIPE CS-ASTMA106GRB 4" SMLS SCH40</t>
  </si>
  <si>
    <t>300006023 dated 07.01.2014</t>
  </si>
  <si>
    <t>1100014904</t>
  </si>
  <si>
    <t>PIPE CS-ASTMA106GRB 6" SMLS SCH40</t>
  </si>
  <si>
    <t>PIPE CS-ASTMA106GRB 8" SMLS SCH40</t>
  </si>
  <si>
    <t>4-6 Weeks</t>
  </si>
  <si>
    <t>3-4 Weeks</t>
  </si>
  <si>
    <t>E x Works</t>
  </si>
  <si>
    <t>Extra</t>
  </si>
  <si>
    <t>100% against PI</t>
  </si>
  <si>
    <t>100% against PI after dispatch clearenceIR,QA documents from TUV on prorata basis</t>
  </si>
  <si>
    <t>% Decrease Reference to last PO Rate</t>
  </si>
  <si>
    <t>1588 Meters</t>
  </si>
  <si>
    <t>By creating competition among the MSL CS pipes distributors  Appx.Saved 12% on CS pipes compared to YR-2014 Last PO rates with the same vendor.</t>
  </si>
  <si>
    <t>3000019733 Dated 24.04.2015</t>
  </si>
  <si>
    <t>Sanjay Bonny Forge Pvt.Ltd</t>
  </si>
  <si>
    <t>Vendor/Supplier</t>
  </si>
  <si>
    <t>CS Forge pipe Fittings &amp; Flanges</t>
  </si>
  <si>
    <t>Over all Discount</t>
  </si>
  <si>
    <t>LOI Qty.as per Mr.Kundu e-mail dated 13.04.2015</t>
  </si>
  <si>
    <t>Actual PR Qty. as on 24.04.2015</t>
  </si>
  <si>
    <t xml:space="preserve">Paras Engineering Works </t>
  </si>
  <si>
    <t>Nippen Tubes</t>
  </si>
  <si>
    <t>L1-Sanjay Bonny Forge Pvt.Ltd</t>
  </si>
  <si>
    <t>Our Ref No.PEW/VVL/001/14-15 Dated 01.04.2015</t>
  </si>
  <si>
    <t xml:space="preserve">REF: NT/VVFL/2015/6755 Dated 27.03.2015
</t>
  </si>
  <si>
    <t>Ref.to Email-Offer dated 27/03/2015</t>
  </si>
  <si>
    <t>Last PO No.</t>
  </si>
  <si>
    <t>Of Paras Engineering works</t>
  </si>
  <si>
    <t>Bhavin Vadhani-022 23898180</t>
  </si>
  <si>
    <t>Mr.Ram Bodke-66595086</t>
  </si>
  <si>
    <t>Mr.Anil Dhamania-9819723812</t>
  </si>
  <si>
    <t>ELBOW CS 45D SW 1" 3000#</t>
  </si>
  <si>
    <t>300004536 dated 18/11/2013</t>
  </si>
  <si>
    <t>NOS</t>
  </si>
  <si>
    <t>1100014795</t>
  </si>
  <si>
    <t>ELBOW CS 45D BW 4" SMLS SCH40</t>
  </si>
  <si>
    <t>ELBOW CS 45D BW 12" SMLS SCH40</t>
  </si>
  <si>
    <t>ELBOW CS 45D BW 12" SMLS</t>
  </si>
  <si>
    <t>ELBOW CS 45D BW 14" SMLS SCH40-CANCEL</t>
  </si>
  <si>
    <t>ELBOW CS 45D BW 14" SMLS</t>
  </si>
  <si>
    <t>ELBOW CS 90D SW 1/2" 3000#</t>
  </si>
  <si>
    <t>2010003027 dated 11.07.2012</t>
  </si>
  <si>
    <t>ELBOW CS 90D SW 1" 3000#</t>
  </si>
  <si>
    <t>00060</t>
  </si>
  <si>
    <t>ELBOW CS 90D SW 1.1/2" 3000#</t>
  </si>
  <si>
    <t>00070</t>
  </si>
  <si>
    <t>ELBOW CS 90D 2" SMLS SCH40</t>
  </si>
  <si>
    <t>00080</t>
  </si>
  <si>
    <t>ELBOW CS 90D 3" SCH40</t>
  </si>
  <si>
    <t>2010001670 dated 26.05.2012</t>
  </si>
  <si>
    <t>00090</t>
  </si>
  <si>
    <t>ELBOW CS 90D 3"</t>
  </si>
  <si>
    <t>ELBOW CS 90D 4" SMLS SCH40</t>
  </si>
  <si>
    <t>00100</t>
  </si>
  <si>
    <t>ELBOW CS 90D 6" SMLS SCH.40 BE</t>
  </si>
  <si>
    <t>00110</t>
  </si>
  <si>
    <t>ELBOW CS 90D 8" SMLS SCH.40 BE</t>
  </si>
  <si>
    <t>00120</t>
  </si>
  <si>
    <t>ELBOW CS 90D 10" SMLS SCH.40 BE</t>
  </si>
  <si>
    <t>00130</t>
  </si>
  <si>
    <t>ELBOW CS 90D 12" SMLS SCH.40 BE</t>
  </si>
  <si>
    <t>00140</t>
  </si>
  <si>
    <t>ELBOW CS 90D 14" SMLS SCH.40 BE</t>
  </si>
  <si>
    <t>00150</t>
  </si>
  <si>
    <t>ELBOW CS 90D 16" SMLS SCH.40 BE</t>
  </si>
  <si>
    <t>00160</t>
  </si>
  <si>
    <t>REDUCER CONC CS A105 SW 1"X1/2" 3000#</t>
  </si>
  <si>
    <t>1100014796</t>
  </si>
  <si>
    <t>REDUCER CONC CS 14"X10" SMLS SCH 40.</t>
  </si>
  <si>
    <t>REDUCER CONC CS 16"X10" SMLS SCH 40.</t>
  </si>
  <si>
    <t>REDUCER CONC CS 16"X14" SMLS SCH 40.</t>
  </si>
  <si>
    <t>REDUCER CONC CS 2"X1.1/2" SMLS SCH40</t>
  </si>
  <si>
    <t>REDUCER ECC CS A234 12"X8" SMLS SCH 40</t>
  </si>
  <si>
    <t>REDUCER ECC CS A234 14"X8" SMLS SCH 40</t>
  </si>
  <si>
    <t>REDUCER ECC CS A234 16"X8" SMLS SCH 40</t>
  </si>
  <si>
    <t>REDUCER ECC CS A234 16"X12" SMLS SCH 40</t>
  </si>
  <si>
    <t>TEE EQUAL ASTM A105 SW 1/2" 3000#</t>
  </si>
  <si>
    <t>1100014804</t>
  </si>
  <si>
    <t>TEE EQUAL ASTM A105 SW 1" 3000#</t>
  </si>
  <si>
    <t>TEE EQUAL ASTM A105 SW 1.1/2" 3000#</t>
  </si>
  <si>
    <t>TEE EQUAL CS A234GRWPB 2" SMLS SCH40</t>
  </si>
  <si>
    <t>TEE EQUAL CS A234GRWPB 8"SMLS SCH 40</t>
  </si>
  <si>
    <t>2010002227 dated 13.06,2012</t>
  </si>
  <si>
    <t>TEE EQUAL CS A234GRWPB 12"SMLS SCH 40</t>
  </si>
  <si>
    <t>TEE EQUAL CS A234GRWPB 14"SMLS SCH 40</t>
  </si>
  <si>
    <t>TEE EQUAL CS A234GRWPB 16"SMLS SCH 40</t>
  </si>
  <si>
    <t>TEE UNEQUAL ASTM A105 1"X1/2" 3000#</t>
  </si>
  <si>
    <t>TEE UNEQUAL ASTM A105 2"X1" 3000#</t>
  </si>
  <si>
    <t>TEE UNEQUAL ASTM A234 2"X1.1/2"</t>
  </si>
  <si>
    <t>TEE UNEQUAL A234 3"X2" SMLS SCH40</t>
  </si>
  <si>
    <t>TEE UNEQUAL BE A234 16"X8" SMLS SCH 40</t>
  </si>
  <si>
    <t>TEE UNEQUAL BE A234 16"X12" SMLS SCH 40</t>
  </si>
  <si>
    <t>FLANGE  CS  A105 1" 300# SW</t>
  </si>
  <si>
    <t>1100014806</t>
  </si>
  <si>
    <t>FLANGE  CS  A105 1.1/2" 300# SW</t>
  </si>
  <si>
    <t>FLANGE CS WNRF 2" 300#</t>
  </si>
  <si>
    <t>FLANGE CS WNRF 3" 300#</t>
  </si>
  <si>
    <t>FLANGE CS WNRF 6" 300#</t>
  </si>
  <si>
    <t>FLANGE CS WNRF 16" 300#</t>
  </si>
  <si>
    <t>FLANGE CS WNRF 10" 300#</t>
  </si>
  <si>
    <t>FLANGE CS WNRF 4" 300#</t>
  </si>
  <si>
    <t>2010003159 dated 14.07.2012</t>
  </si>
  <si>
    <t>1100014808</t>
  </si>
  <si>
    <t>FLANGE CS WNRF 8" 300#</t>
  </si>
  <si>
    <t>FLANGE CS WNRF 12" 300#</t>
  </si>
  <si>
    <t>FLANGE CS WNRF 14" 300#</t>
  </si>
  <si>
    <t>BLIND FLANGE CS RF 14" 300#</t>
  </si>
  <si>
    <t>1100014991</t>
  </si>
  <si>
    <t>TEE UNEQUAL BE A234 14"X12" SMLS SCH 40</t>
  </si>
  <si>
    <t>REDUCER ECC CS A234 14"X10" SMLS SCH 40</t>
  </si>
  <si>
    <t>ELBOW AS ASTM A234 GR P11 3/4" SCH160</t>
  </si>
  <si>
    <t>COUPLING HALF A105 SW 1/2" 3000#</t>
  </si>
  <si>
    <t>COUPLING HALF A105 SW 1" 3000#</t>
  </si>
  <si>
    <t>COUPLING HALF A105 SW 1.1/5" 3000#</t>
  </si>
  <si>
    <t>COUPLING HALF A105 SW 2" 3000#</t>
  </si>
  <si>
    <t>BLIND FLANGE CS RF 12" 300#</t>
  </si>
  <si>
    <t>BLIND FLANGE CS RF 16" 300#</t>
  </si>
  <si>
    <t>1100015437</t>
  </si>
  <si>
    <t>For Sample pieces-QTY 1 No.each will consume for  for Physical Testing</t>
  </si>
  <si>
    <t>1100015093</t>
  </si>
  <si>
    <t>upto 14" delivery 24th April 15,next Lot 16"delivery on or before 4/05/2015.</t>
  </si>
  <si>
    <t>30% advance with order &amp; balance against delivery</t>
  </si>
  <si>
    <t>Within 30 days</t>
  </si>
  <si>
    <t>100% against proforma Invoice after dispatch clearance IR,QA documents from TUV on prorata basis.Inspection charges &amp; test coupen/Sample piece per size/lot charges will be borne by VVF &amp; Material Lab testing charges will be borne by Vendor.</t>
  </si>
  <si>
    <t>TEE UNEQUAL BE A234 14"X 8" SMLS SCH 40</t>
  </si>
  <si>
    <t>REDUCER ECC CS A234 14"X12" SMLS SCH 40</t>
  </si>
  <si>
    <t>REDUCER CONC CS 14"X12" SMLS SCH 40.-CANCEL</t>
  </si>
  <si>
    <t>REDUCER CONC CS 16"X12" SMLS SCH 40.-CANCEL</t>
  </si>
  <si>
    <t>For Sample Testing</t>
  </si>
  <si>
    <t>540 Nos.</t>
  </si>
  <si>
    <t>After Technical evaluation &amp; approval from User,Developed new Manufacturer M/S Sanjay Bony Forge P Ltd,for forge/pipe fittings &amp; Flanges  Saved 15% compared to YR-2014 Last PO rates &amp; 12% on present Finalised rates of M/S Paras Engineering Works</t>
  </si>
  <si>
    <t>3000021770 Dated 26.06.2015</t>
  </si>
  <si>
    <t>Perfect Gaskets Pvt.Ltd</t>
  </si>
  <si>
    <t>Gaskests</t>
  </si>
  <si>
    <t>Perfect Gaskets Pvt Ltd</t>
  </si>
  <si>
    <t>Uniklinger Ltd</t>
  </si>
  <si>
    <t>Sealent &amp; Gaskets India P Ltd</t>
  </si>
  <si>
    <t>PGI/60/15  Dated 24.06.2015</t>
  </si>
  <si>
    <t xml:space="preserve">Qtn Ref No: BG4949 Dated 26.06.2015
</t>
  </si>
  <si>
    <t>SGIPL/SALES/CFP – TVS/2014-2015 dated 26.06.2015</t>
  </si>
  <si>
    <t>Vishal Bobadi-02229201329</t>
  </si>
  <si>
    <t>Kapil -9619494404</t>
  </si>
  <si>
    <t>Trupti-022 28367311</t>
  </si>
  <si>
    <t>GASKET SS304 SW GR.FL. 1" 300#</t>
  </si>
  <si>
    <t>3000015323 dated 25.11.14</t>
  </si>
  <si>
    <t>1100016499</t>
  </si>
  <si>
    <t>GASKET SS304 SW GR.FL. 1.1/2" 300#</t>
  </si>
  <si>
    <t>GASKET SS304 SW GR.FL. 2" 300#</t>
  </si>
  <si>
    <t>GASKET SS304 SW GR.FL. 3" 300#</t>
  </si>
  <si>
    <t>GASKET SS304 SW GR.FL. 4" 300#</t>
  </si>
  <si>
    <t>GASKET SS304 SW GR.FL. 6" 300#</t>
  </si>
  <si>
    <t>GASKET SS304 SW GR.FL. 8" 300#</t>
  </si>
  <si>
    <t>GASKET SS304 SW GR.FL. 10" 300#</t>
  </si>
  <si>
    <t>3000006068 dated 09.01.14</t>
  </si>
  <si>
    <t>GASKET SS304 SW GR.FL. 12" 300#</t>
  </si>
  <si>
    <t>GASKET SS304 SW GR.FL. 14" 300#</t>
  </si>
  <si>
    <t>00170</t>
  </si>
  <si>
    <t>GASKET SS304 SW GR.FL. 16" 300#</t>
  </si>
  <si>
    <t>3000005234 dated 10.12.13</t>
  </si>
  <si>
    <t>00180</t>
  </si>
  <si>
    <t>GRAPHITE PLATE 15MM X 200MM X 200MM</t>
  </si>
  <si>
    <t>1100016549</t>
  </si>
  <si>
    <t>GRAPHITE PLATE 15MM</t>
  </si>
  <si>
    <t>GASKET 1" STYLE AF120 150# 3MMTHK</t>
  </si>
  <si>
    <t>GASKET 1/2" STYLE AF120 150# 3MMTHK</t>
  </si>
  <si>
    <t>GASKET 1.1/2" STYLE AF120 150# 3MMTHK</t>
  </si>
  <si>
    <t>GASKET 2" STYLE AF120 150# 3MMTHK</t>
  </si>
  <si>
    <t>GASKET 3" STYLE AF120 150# 3MMTHK</t>
  </si>
  <si>
    <t>GASKET 4" STYLE AF120 150# 3MMTHK</t>
  </si>
  <si>
    <t>1-2 Weeks</t>
  </si>
  <si>
    <t>Ex Works</t>
  </si>
  <si>
    <t>100% against delivery prior to dispatch clearence IR,QA documents from TUV/VVF</t>
  </si>
  <si>
    <t>TPI-TUV/VVF</t>
  </si>
  <si>
    <t>NA</t>
  </si>
  <si>
    <t>Cost saving compared to Last PO rate Rs.68558/-</t>
  </si>
  <si>
    <t>Norton &amp; Gaskets Private Limited</t>
  </si>
  <si>
    <t>Our Ref No : PGI/45/15  Dated 14.08.2015</t>
  </si>
  <si>
    <t xml:space="preserve">Qtn Ref No: BG 5024   Dated 14.08.2015
</t>
  </si>
  <si>
    <t>Qtn Ref No. 042/15-16, dtd. 21.7.15</t>
  </si>
  <si>
    <t>GASKET SS304 SW GR.FL. 1/2" 150#S.S. 304 GRAFOIL FILLED WITH S.S. 304 INNER
&amp; OUTER RING S/W GASKET</t>
  </si>
  <si>
    <t>PO NO : 3000017840, DT : 19/02/2015.</t>
  </si>
  <si>
    <t>1100017694</t>
  </si>
  <si>
    <t>GASKET SS304 SW GR.FL. 1" 150#</t>
  </si>
  <si>
    <t>GASKET SS304 SW GR.FL. 2" 150#</t>
  </si>
  <si>
    <t>GASKET SHEET CAF STYLE 59 3MMTHK</t>
  </si>
  <si>
    <t>3000012138 dated 08.02.2014</t>
  </si>
  <si>
    <t>KG</t>
  </si>
  <si>
    <t>1100017266</t>
  </si>
  <si>
    <t>15-20 days</t>
  </si>
  <si>
    <t>2 Weeks</t>
  </si>
  <si>
    <t xml:space="preserve">100% against delivery </t>
  </si>
  <si>
    <t>100% against delivery</t>
  </si>
  <si>
    <t>VVF</t>
  </si>
  <si>
    <t>3000023250 Dated 17.08.2015</t>
  </si>
  <si>
    <t>1800 Nos.</t>
  </si>
  <si>
    <t>511 Nos.</t>
  </si>
  <si>
    <t>Rs.199483 i.e 67 % cost saving compared to last PO rates of Perfect Gaskets Pvt Ltd</t>
  </si>
  <si>
    <t>Rs.68558 i.e 35 % cost saving compared to last PO rates of Perfect Gaskets Pvt Ltd</t>
  </si>
  <si>
    <t>3000022113 Dated 07.07.2015</t>
  </si>
  <si>
    <t>20% Savings by Negotiating Stud/Bolts/Fasteners on per KG basis &amp; Developed New Technically approved Vendor M/S Hem Industries,compared to last PO Yr.2014 Rates of M/S Syndicate Engineering &amp; M/S Pacific forging &amp; fasteners</t>
  </si>
  <si>
    <t>Hem Industries</t>
  </si>
  <si>
    <t>HEM Industries</t>
  </si>
  <si>
    <t>PACIFIC FORGING &amp; FASTENERS PVT. LTD.</t>
  </si>
  <si>
    <t>INDUSTRIAL ENGINEERING CORPORATION</t>
  </si>
  <si>
    <t>Syndicate Engineering Industries</t>
  </si>
  <si>
    <t>HI/366/Q Dated 29.06.2015</t>
  </si>
  <si>
    <t xml:space="preserve">Ref.:PFF/046/QTN/VVF/15-16 Dated 24.06.2015
</t>
  </si>
  <si>
    <t>E-mail offer dated 01.07.2015</t>
  </si>
  <si>
    <t>QUOTATION NO : Q00362/1516 dated 27.06.2015</t>
  </si>
  <si>
    <t>Ronak Doshi-9833957070</t>
  </si>
  <si>
    <t>Ramesh Kamath -9619914259</t>
  </si>
  <si>
    <t>Doshi-0250-6450507/08</t>
  </si>
  <si>
    <t>Minal -022-41553786</t>
  </si>
  <si>
    <t>Rushabh Fasteners</t>
  </si>
  <si>
    <t>Per KG rate per last PO-3000010665 dated 14.7.14</t>
  </si>
  <si>
    <t xml:space="preserve">U BOLT WITH NUT &amp; WASHER CLAMP GI 1/2"_Electro Galvanized ( 8 to 10 Microns ) </t>
  </si>
  <si>
    <t xml:space="preserve"> STUD A193GR.B7/A194GR.2H1.14 X195mm</t>
  </si>
  <si>
    <t xml:space="preserve">U BOLT WITH NUT &amp; WASHER CLAMP 1.1/2"_Electro Galvanized ( 8 to 10 Microns ) </t>
  </si>
  <si>
    <t xml:space="preserve"> STUD A193GR.B7/A194GR.2H1.1/8"X175 mm</t>
  </si>
  <si>
    <t xml:space="preserve">U BOLT WITH NUT &amp; WASHER CLAMP GI 2"_Electro Galvanized ( 8 to 10 Microns ) </t>
  </si>
  <si>
    <t>Per KG rate per with Hem Industries</t>
  </si>
  <si>
    <t xml:space="preserve">STUD A193GR.B7/A194GR.2H 1/2"X75MMSTUD BOLT, ALLOY STEEL, FULL LENGTH UNC THREAD WITH TWO CARBON STEEL HEAVY HEXAGONAL NUTS,  A193 GR B7 / A194 GR 2H, ANSI B18.2.1 / B18.2.2.
</t>
  </si>
  <si>
    <t>STUD A193GR.B7/A194GR.2H 3/4"X90MM</t>
  </si>
  <si>
    <t>STUD A193GR.B7/A194GR.2H 3/4"X110MM</t>
  </si>
  <si>
    <t>STUD A193GR.B7/A194GR.2H 3/4"X130MM</t>
  </si>
  <si>
    <t>STUD A193GR.B7/A194GR.2H 5/8"X75MM</t>
  </si>
  <si>
    <t>STUD A193GR.B7/A194GR.2H 5/8"X90MM</t>
  </si>
  <si>
    <t>STUD A193GR.B7/A194GR.2H 7/8"X150MM</t>
  </si>
  <si>
    <t>STUD A193GR.B7/A194GR.2H 1.1/4"X205MM</t>
  </si>
  <si>
    <t>STUD A193GR.B7/A194GR.2H 1.1/8"X190MM</t>
  </si>
  <si>
    <t>STUD A193GR.B7/A194GR.2H 1"X170MM</t>
  </si>
  <si>
    <t>4-5 Weeks</t>
  </si>
  <si>
    <t>3-4  Weeks</t>
  </si>
  <si>
    <t>2-3 Weeks</t>
  </si>
  <si>
    <t>Extra At Actual</t>
  </si>
  <si>
    <t>100% against Delivery prior to dispatch clearenceIR,QA documents from TUV on prorata basis</t>
  </si>
  <si>
    <t>100% against PI prior to dispatch clearence IR,QA documents from TUV/VVF</t>
  </si>
  <si>
    <t>0.5% per Week to 5% max onper week on undelivered portion of PO.</t>
  </si>
  <si>
    <t>Total PO basic cost as per  Last PO rates</t>
  </si>
  <si>
    <t>Appx 124/Per KG avg rate with Hem Industries</t>
  </si>
  <si>
    <t>Savings compared to last PO Rates with M/S Syndicate &amp; Pacifica Forging by Introducing New Bolt manufacturer</t>
  </si>
  <si>
    <t>Stud &amp; Nut Bolts/STUD A193GR.B7/A194GR.2H</t>
  </si>
  <si>
    <t>5600 Nos.</t>
  </si>
  <si>
    <t>Plnt</t>
  </si>
  <si>
    <t>Purch.Req.</t>
  </si>
  <si>
    <t>Material</t>
  </si>
  <si>
    <t>Short Text</t>
  </si>
  <si>
    <t>Quantity</t>
  </si>
  <si>
    <t>Unit</t>
  </si>
  <si>
    <t>Price</t>
  </si>
  <si>
    <t>Discounted Unit price</t>
  </si>
  <si>
    <t>Last PO Price</t>
  </si>
  <si>
    <t>Last PO NO &amp; Date</t>
  </si>
  <si>
    <t>% Decrease ref.Last PO rate</t>
  </si>
  <si>
    <t>Deliv.Date</t>
  </si>
  <si>
    <t>Requisnr.</t>
  </si>
  <si>
    <t>PGr</t>
  </si>
  <si>
    <t>S</t>
  </si>
  <si>
    <t>Req. Date</t>
  </si>
  <si>
    <t>Rel</t>
  </si>
  <si>
    <t>PO</t>
  </si>
  <si>
    <t>PO Date</t>
  </si>
  <si>
    <t>Release Dt</t>
  </si>
  <si>
    <t>Total Value</t>
  </si>
  <si>
    <t>103</t>
  </si>
  <si>
    <t>1310734</t>
  </si>
  <si>
    <t>EPIL E04D030 GLAND GASKET-444.05</t>
  </si>
  <si>
    <t>3000007709 dated 08.03.2014</t>
  </si>
  <si>
    <t xml:space="preserve">EPIL DRG NO-C00174 AK 0A
PUMP MODEL NO-KSB-CPK-C-32-250, CPK-C-50-250
PUMP TAG NO-02G7 A/B, 08G2A/B, 08G5A/B, 04G5A/B,P-313A/B
</t>
  </si>
  <si>
    <t>20150901</t>
  </si>
  <si>
    <t>Haresh</t>
  </si>
  <si>
    <t>E13</t>
  </si>
  <si>
    <t>N</t>
  </si>
  <si>
    <t/>
  </si>
  <si>
    <t>2</t>
  </si>
  <si>
    <t>1310738</t>
  </si>
  <si>
    <t>EPIL E04D030 SLEEVE GASKET-444.04</t>
  </si>
  <si>
    <t>EPIL DRG NO-C00174 AK 0A
PUMP MODEL NO-KSB-CPK-C-32-250, CPK-C-50-250
PUMP TAG NO-02G7 A/B, 08G2A/B, 08G5A/B, 04G5A/B,P-313A/B</t>
  </si>
  <si>
    <t>1310735</t>
  </si>
  <si>
    <t>EPIL E04D030 MATING RING-300.00</t>
  </si>
  <si>
    <t>1310739</t>
  </si>
  <si>
    <t>EPIL E04D030 SLEEVE O RING-111.04</t>
  </si>
  <si>
    <t>EPIL DRG NO-C00174 AK 0A</t>
  </si>
  <si>
    <t>1310737</t>
  </si>
  <si>
    <t>EPIL E04D030 MR PACKING-555.30</t>
  </si>
  <si>
    <t>1310741</t>
  </si>
  <si>
    <t>EPIL E04D030 SR COMPOSITE-201.00</t>
  </si>
  <si>
    <t>1310806</t>
  </si>
  <si>
    <t>EPIL E14D024 MATING RING SIC-300.00</t>
  </si>
  <si>
    <t>EPIL DRG NO-C00788 AD OA</t>
  </si>
  <si>
    <t>1310807</t>
  </si>
  <si>
    <t>EPIL E14D024 MR PACKING-555.30</t>
  </si>
  <si>
    <t>1310811</t>
  </si>
  <si>
    <t>EPIL E14D024 STUB SLEEVE GASKET-444.17</t>
  </si>
  <si>
    <t>1310799</t>
  </si>
  <si>
    <t>EPIL E12DIN0035 MR O RING</t>
  </si>
  <si>
    <t>EPIL DRG NO-C01196AB</t>
  </si>
  <si>
    <t>1310801</t>
  </si>
  <si>
    <t>EPIL E12DIN0035 SLEEVE GASKET</t>
  </si>
  <si>
    <t>1310723</t>
  </si>
  <si>
    <t>EPIL E04D024 GLAND GASKET-444.05</t>
  </si>
  <si>
    <t>EPIL DRG NO-C0094 AC OB</t>
  </si>
  <si>
    <t>1310726</t>
  </si>
  <si>
    <t>EPIL E04D024 SLEEVE GASKET-444.</t>
  </si>
  <si>
    <t>1310728</t>
  </si>
  <si>
    <t>EPIL E04D024 SLEEVE-400.00</t>
  </si>
  <si>
    <t>1310730</t>
  </si>
  <si>
    <t>EPIL E04D024 STUB SLEEVE-425.00</t>
  </si>
  <si>
    <t>1310727</t>
  </si>
  <si>
    <t>EPIL E04D024 SLEEVE O RING-111.</t>
  </si>
  <si>
    <t>1310725</t>
  </si>
  <si>
    <t>EPIL E04D024 MR PACKING</t>
  </si>
  <si>
    <t>1310729</t>
  </si>
  <si>
    <t>EPIL E04D024 SR COMPOSITE-201.00</t>
  </si>
  <si>
    <t>1310724</t>
  </si>
  <si>
    <t>EPIL E04D024 MATING RING-300.00</t>
  </si>
  <si>
    <t>1310875</t>
  </si>
  <si>
    <t>EPIL P12DIN0035 MR O RING</t>
  </si>
  <si>
    <t>EPIL DRG NO-A06028AB</t>
  </si>
  <si>
    <t>1310878</t>
  </si>
  <si>
    <t>EPIL P12DIN0035 WEDGE</t>
  </si>
  <si>
    <t>1310873</t>
  </si>
  <si>
    <t>EPIL P12DIN0035 GLAND GASKET</t>
  </si>
  <si>
    <t>1310876</t>
  </si>
  <si>
    <t>EPIL P12DIN0035 SLEEVE</t>
  </si>
  <si>
    <t>1316844</t>
  </si>
  <si>
    <t>EPIL P22/P12D022 PACKING MATING RING-IB</t>
  </si>
  <si>
    <t>EPIL DRG NO-A08360AC OA</t>
  </si>
  <si>
    <t>1315457</t>
  </si>
  <si>
    <t>EPIL P22/P12D030 SEAL RING OB</t>
  </si>
  <si>
    <t>3000015439 dated 28.11.2014</t>
  </si>
  <si>
    <t>EPIL DRG NO-A10866 AC OA</t>
  </si>
  <si>
    <t>1311068</t>
  </si>
  <si>
    <t>EPIL P22/P12D030 WEDGE IB</t>
  </si>
  <si>
    <t>1311069</t>
  </si>
  <si>
    <t>EPIL P22/P12D030 WEDGE OB</t>
  </si>
  <si>
    <t>1311064</t>
  </si>
  <si>
    <t>EPIL P22/P12D030 SLEEVE</t>
  </si>
  <si>
    <t>1311065</t>
  </si>
  <si>
    <t>EPIL P22/P12D030 SLEEVE GASKET</t>
  </si>
  <si>
    <t>1311060</t>
  </si>
  <si>
    <t>EPIL P22/P12D030 GLAND GASKET</t>
  </si>
  <si>
    <t>1311063</t>
  </si>
  <si>
    <t>EPIL P22/P12D030 MR PACKING IB</t>
  </si>
  <si>
    <t>1315456</t>
  </si>
  <si>
    <t>EPIL P22/P12D030 MR PACKING OB</t>
  </si>
  <si>
    <t>1311066</t>
  </si>
  <si>
    <t>EPIL P22/P12D030 SPRING IB</t>
  </si>
  <si>
    <t>1311067</t>
  </si>
  <si>
    <t>EPIL P22/P12D030 SPRING OB</t>
  </si>
  <si>
    <t>Quoted Total</t>
  </si>
  <si>
    <t>Discounted basic Total</t>
  </si>
  <si>
    <t>Saving ref.to last PO rate</t>
  </si>
  <si>
    <t>200554     EAGLE BURGMANN INDIA PVT. LTD.</t>
  </si>
  <si>
    <t>1</t>
  </si>
  <si>
    <t>6,815.00</t>
  </si>
  <si>
    <t>INR</t>
  </si>
  <si>
    <t>1100017311</t>
  </si>
  <si>
    <t>1311187</t>
  </si>
  <si>
    <t>EPIL Y14D024/Y14D024 SLEEVE</t>
  </si>
  <si>
    <t>EPIL DRG NO-B01790 AB OB</t>
  </si>
  <si>
    <t>20150831</t>
  </si>
  <si>
    <t>E07</t>
  </si>
  <si>
    <t>1311182</t>
  </si>
  <si>
    <t>EPIL Y14D024/Y14D024 GLAND GASKET</t>
  </si>
  <si>
    <t>1311190</t>
  </si>
  <si>
    <t>EPIL Y14D024/Y14D024 ST.BELLOW GASKET IB</t>
  </si>
  <si>
    <t>1311180</t>
  </si>
  <si>
    <t>EPIL Y14D024/Y14D024 AUX GLAND GASKET</t>
  </si>
  <si>
    <t>1311191</t>
  </si>
  <si>
    <t>EPIL Y14D024/Y14D024 STUB SLEEVE GASKET</t>
  </si>
  <si>
    <t>1311185</t>
  </si>
  <si>
    <t>EPIL Y14D024/Y14D024 MR PACKING IB</t>
  </si>
  <si>
    <t>1311186</t>
  </si>
  <si>
    <t>EPIL Y14D024/Y14D024 MR PACKING OB</t>
  </si>
  <si>
    <t>1311176</t>
  </si>
  <si>
    <t>EPIL Y14D024 MR PACKING-555.30</t>
  </si>
  <si>
    <t>EPIL DRG NO-B00217 AF OA</t>
  </si>
  <si>
    <t>1311163</t>
  </si>
  <si>
    <t>EPIL Y14D024 GASKET-444.00</t>
  </si>
  <si>
    <t>1311175</t>
  </si>
  <si>
    <t>EPIL Y14D024 MR CARRIER-306.00</t>
  </si>
  <si>
    <t>EPIL DRG NO-B00206 AE OA</t>
  </si>
  <si>
    <t>1311178</t>
  </si>
  <si>
    <t>EPIL Y14D024 SR ASSY-100.00</t>
  </si>
  <si>
    <t>1311174</t>
  </si>
  <si>
    <t>EPIL Y14D024 MATING RING-300.00</t>
  </si>
  <si>
    <t>1311164</t>
  </si>
  <si>
    <t>EPIL Y14D024 GLAND GASKET-444.05</t>
  </si>
  <si>
    <t>1311169</t>
  </si>
  <si>
    <t>EPIL Y14D024 INC-SPL SEAL RING</t>
  </si>
  <si>
    <t>EPIL DRG NO-B01385 AC OA</t>
  </si>
  <si>
    <t>1311171</t>
  </si>
  <si>
    <t>EPIL Y14D024 INC-SPL SR PACKING</t>
  </si>
  <si>
    <t>1311165</t>
  </si>
  <si>
    <t>EPIL Y14D024 INC-SPL GLAND GASKET</t>
  </si>
  <si>
    <t>1311170</t>
  </si>
  <si>
    <t>EPIL Y14D024 INC-SPL SLEEVE GASKET</t>
  </si>
  <si>
    <t>00190</t>
  </si>
  <si>
    <t>1311168</t>
  </si>
  <si>
    <t>EPIL Y14D024 INC-SPL MR PACKING</t>
  </si>
  <si>
    <t>00200</t>
  </si>
  <si>
    <t>1311166</t>
  </si>
  <si>
    <t>EPIL Y14D024 INC-SPL MATING RING SIC</t>
  </si>
  <si>
    <t>00210</t>
  </si>
  <si>
    <t>1311287</t>
  </si>
  <si>
    <t>EPIL Y14D038 SR ASSY-100.00</t>
  </si>
  <si>
    <t>EPIL DRG NO-B00162 AB OA / B03067AB OA</t>
  </si>
  <si>
    <t>00220</t>
  </si>
  <si>
    <t>1311218</t>
  </si>
  <si>
    <t>EPIL Y14D026/Y14D034 SR ASSY IB</t>
  </si>
  <si>
    <t>EPIL DRG NO-B00829 AB 2D</t>
  </si>
  <si>
    <t>00230</t>
  </si>
  <si>
    <t>1311219</t>
  </si>
  <si>
    <t>EPIL Y14D026/Y14D034 SR ASSY OB</t>
  </si>
  <si>
    <t>00240</t>
  </si>
  <si>
    <t>1315466</t>
  </si>
  <si>
    <t>EPIL Y14D026/Y14D034 MATING RING IB</t>
  </si>
  <si>
    <t>00250</t>
  </si>
  <si>
    <t>1311212</t>
  </si>
  <si>
    <t>EPIL Y14D026/Y14D034 MATING RING OB</t>
  </si>
  <si>
    <t>00260</t>
  </si>
  <si>
    <t>1315467</t>
  </si>
  <si>
    <t>EPIL Y14D026/Y14D034 SLEEVE</t>
  </si>
  <si>
    <t>00270</t>
  </si>
  <si>
    <t>1311220</t>
  </si>
  <si>
    <t>EPIL Y14D026/Y14D034 ST.BELLOW GASKET IB</t>
  </si>
  <si>
    <t>00280</t>
  </si>
  <si>
    <t>1311209</t>
  </si>
  <si>
    <t>EPIL Y14D026/Y14D034 AUX GLAND GASKET</t>
  </si>
  <si>
    <t>00290</t>
  </si>
  <si>
    <t>1311216</t>
  </si>
  <si>
    <t>EPIL Y14D026/Y14D034 SHAFT PACKING</t>
  </si>
  <si>
    <t>00300</t>
  </si>
  <si>
    <t>1311213</t>
  </si>
  <si>
    <t>EPIL Y14D026/Y14D034 MR PACKING IB</t>
  </si>
  <si>
    <t>1100017312</t>
  </si>
  <si>
    <t>1311264</t>
  </si>
  <si>
    <t>EPIL Y14D032 SHAFT PACKING-555.06</t>
  </si>
  <si>
    <t>EPIL DRG NO-B00790 AB OA</t>
  </si>
  <si>
    <t>1311263</t>
  </si>
  <si>
    <t>EPIL Y14D032 MR PACKING-555.30</t>
  </si>
  <si>
    <t>1311254</t>
  </si>
  <si>
    <t>EPIL Y14D030/Y14D030 SLEEVE GASKET</t>
  </si>
  <si>
    <t>EPIL DRG NO-B01019 AB OB / B02536 AB OA</t>
  </si>
  <si>
    <t>1311256</t>
  </si>
  <si>
    <t>EPIL Y14D030/Y14D030 ST.BELLOW GASKET IB</t>
  </si>
  <si>
    <t>EPIL DRG NO-B03244AA OA / B03459AD OA</t>
  </si>
  <si>
    <t>1311248</t>
  </si>
  <si>
    <t>EPIL Y14D030/Y14D030 AUX GLAND GASKET</t>
  </si>
  <si>
    <t>1319643</t>
  </si>
  <si>
    <t>EPIL Y14 D30/Y14 D30 PACKIMG M.RING (OB)</t>
  </si>
  <si>
    <t>1311307</t>
  </si>
  <si>
    <t>EPIL Y14D30/Y14D30 FLOW AUX GLAND GASKET</t>
  </si>
  <si>
    <t>EPIL DRG NO-B01073 AB OA</t>
  </si>
  <si>
    <t>1311316</t>
  </si>
  <si>
    <t>EPIL Y14D30/Y14D30 FLOW SLEEVE GASKET</t>
  </si>
  <si>
    <t>1311240</t>
  </si>
  <si>
    <t>EPIL Y14D030 GASKET-444.00</t>
  </si>
  <si>
    <t>EPIL DRG NO-B00208 AM OA</t>
  </si>
  <si>
    <t>1311241</t>
  </si>
  <si>
    <t>EPIL Y14D030 GLAND GASKET-444.05</t>
  </si>
  <si>
    <t>1311246</t>
  </si>
  <si>
    <t>EPIL Y14D030 ST.BELLOW GASKET</t>
  </si>
  <si>
    <t>1311244</t>
  </si>
  <si>
    <t>EPIL Y14D030 MR PACKING-555.30</t>
  </si>
  <si>
    <t>1311104</t>
  </si>
  <si>
    <t>EPIL Y14D016 SLEEVE GASKET-444.04</t>
  </si>
  <si>
    <t>EPIL DRG NO-B00568 AH OB</t>
  </si>
  <si>
    <t>1311105</t>
  </si>
  <si>
    <t>EPIL Y14D016 ST.BELLOW GASKET-444.10</t>
  </si>
  <si>
    <t>1311103</t>
  </si>
  <si>
    <t>EPIL Y14D016 MR PACKING-555.30</t>
  </si>
  <si>
    <t>1311202</t>
  </si>
  <si>
    <t>EPIL Y14D026 SULZER MATING RING</t>
  </si>
  <si>
    <t>EPIL DRG NO-B02907 AB OA</t>
  </si>
  <si>
    <t>1311207</t>
  </si>
  <si>
    <t>EPIL Y14D026 SULZER ST.BELLOW GASKET</t>
  </si>
  <si>
    <t>1311201</t>
  </si>
  <si>
    <t>EPIL Y14D026 SULZER GLAND GASKET</t>
  </si>
  <si>
    <t>1311204</t>
  </si>
  <si>
    <t>EPIL Y14D026 SULZER MR PACKING</t>
  </si>
  <si>
    <t>1311205</t>
  </si>
  <si>
    <t>EPIL Y14D026 SULZER SLEEVE O RING</t>
  </si>
  <si>
    <t>1311200</t>
  </si>
  <si>
    <t>EPIL Y14D026 SULZER AUX GLAND GASKET</t>
  </si>
  <si>
    <t>1311351</t>
  </si>
  <si>
    <t>EPIL Y9D056/Y9D064 MATING RING IB</t>
  </si>
  <si>
    <t>EPIL DRG NO-B01917 AA 5A</t>
  </si>
  <si>
    <t>1311352</t>
  </si>
  <si>
    <t>EPIL Y9D056/Y9D064 O RING KIT</t>
  </si>
  <si>
    <t>1311354</t>
  </si>
  <si>
    <t>EPIL Y9D056/Y9D064 SR ASSY IB</t>
  </si>
  <si>
    <t>1311355</t>
  </si>
  <si>
    <t>EPIL Y9D056/Y9D064 SR ASSY OB</t>
  </si>
  <si>
    <t>1315474</t>
  </si>
  <si>
    <t>EPIL Y9D056/Y9D064 MATING RING OB</t>
  </si>
  <si>
    <t>1311297</t>
  </si>
  <si>
    <t>EPIL Y14D038/Y14D036 SLEEVE GASKET</t>
  </si>
  <si>
    <t>EPIL DRG NO-B03070AB OA</t>
  </si>
  <si>
    <t>1311303</t>
  </si>
  <si>
    <t>EPIL Y14D038/Y14D036 STUB SLEEVE GASKET</t>
  </si>
  <si>
    <t>1311300</t>
  </si>
  <si>
    <t>EPIL Y14D038/Y14D036 ST.BELLOW GASKET IB</t>
  </si>
  <si>
    <t>00310</t>
  </si>
  <si>
    <t>1311301</t>
  </si>
  <si>
    <t>EPIL Y14D038/Y14D036 ST.BELLOW GASKET OB</t>
  </si>
  <si>
    <t>00320</t>
  </si>
  <si>
    <t>1311293</t>
  </si>
  <si>
    <t>EPIL Y14D038/Y14D036 MR PACKING IB</t>
  </si>
  <si>
    <t>00330</t>
  </si>
  <si>
    <t>1311294</t>
  </si>
  <si>
    <t>EPIL Y14D038/Y14D036 MR PACKING OB</t>
  </si>
  <si>
    <t>00340</t>
  </si>
  <si>
    <t>1311291</t>
  </si>
  <si>
    <t>EPIL Y14D038/Y14D036 MATING RING IB</t>
  </si>
  <si>
    <t>00350</t>
  </si>
  <si>
    <t>1318887</t>
  </si>
  <si>
    <t>EPIL Y14D044 SLEEVE GASKET P/N 444.04</t>
  </si>
  <si>
    <t>EPIL DRG NO-B03208AC 2A</t>
  </si>
  <si>
    <t>E03</t>
  </si>
  <si>
    <t>00360</t>
  </si>
  <si>
    <t>1318889</t>
  </si>
  <si>
    <t>EPIL Y14D044 ST. BELOW GASKET P/N 444.10</t>
  </si>
  <si>
    <t>00370</t>
  </si>
  <si>
    <t>1318891</t>
  </si>
  <si>
    <t>EPIL Y14D044 MR PACKING P/N 555.30</t>
  </si>
  <si>
    <t>Long Text</t>
  </si>
  <si>
    <t>1100017315</t>
  </si>
  <si>
    <t>1317275</t>
  </si>
  <si>
    <t>E12 GASKET SWSS316L1333X1244X4.5WITH RIB</t>
  </si>
  <si>
    <t>20150810</t>
  </si>
  <si>
    <t>1100017520</t>
  </si>
  <si>
    <t>1322685</t>
  </si>
  <si>
    <t>HEAT EXCHANGER SHELL &amp; TUBE E-312</t>
  </si>
  <si>
    <t>20151101</t>
  </si>
  <si>
    <t>X</t>
  </si>
  <si>
    <t>1322686</t>
  </si>
  <si>
    <t>HEAT EXCHANGER SHELL &amp; TUBE E-359</t>
  </si>
  <si>
    <t>1100017507</t>
  </si>
  <si>
    <t>1322942</t>
  </si>
  <si>
    <t>STEAM TRAP THERMODYNAMIC 1" SW PT11 NIBR</t>
  </si>
  <si>
    <t>1322943</t>
  </si>
  <si>
    <t>STEAM TRAP THERMODYNAM 1/2" SW PT11 NIBR</t>
  </si>
  <si>
    <t>1322945</t>
  </si>
  <si>
    <t>STEAM TRAP THERMOSTATIC 1" SW PT33NIBR</t>
  </si>
  <si>
    <t>1100017290</t>
  </si>
  <si>
    <t>1322729</t>
  </si>
  <si>
    <t>MECH SEAL MSI-2638 45MM SEAL RING</t>
  </si>
  <si>
    <t>20150803</t>
  </si>
  <si>
    <t>1322730</t>
  </si>
  <si>
    <t>MECH SEAL MSI-2638 45MM MATING RING</t>
  </si>
  <si>
    <t>1322731</t>
  </si>
  <si>
    <t>MECH SEAL MSI-2638 45MM O-RING SEAL RING</t>
  </si>
  <si>
    <t>1322732</t>
  </si>
  <si>
    <t>MECH SEAL MSI-2638 45MM O-RING MATING</t>
  </si>
  <si>
    <t>1322733</t>
  </si>
  <si>
    <t>MECH SEAL MSI-2638 45MM SHAFT SLEEVE</t>
  </si>
  <si>
    <t>1322734</t>
  </si>
  <si>
    <t>MECH SEAL MSI-2638 45MM COMPR. UNIT</t>
  </si>
  <si>
    <t>1322735</t>
  </si>
  <si>
    <t>MECH SEAL MSI-2638 45MM SPRING</t>
  </si>
  <si>
    <t>SET</t>
  </si>
  <si>
    <t>1322736</t>
  </si>
  <si>
    <t>MECH SEAL MSI-2638 45MM SLEEVE GASKET</t>
  </si>
  <si>
    <t>1322737</t>
  </si>
  <si>
    <t>MECH SEAL MSI-2638 45MM GLAND GASKET</t>
  </si>
  <si>
    <t>1322738</t>
  </si>
  <si>
    <t>MECH SEAL MSI-2648 35MM SEAL RING</t>
  </si>
  <si>
    <t>1322739</t>
  </si>
  <si>
    <t>MECH SEAL MSI-2648 35MM MATING RING</t>
  </si>
  <si>
    <t>1322740</t>
  </si>
  <si>
    <t>MECH SEAL MSI-2648 35MM SEAL RING WEDGE</t>
  </si>
  <si>
    <t>1322741</t>
  </si>
  <si>
    <t>MECH SEAL MSI-2648 35MM MATING PACKING</t>
  </si>
  <si>
    <t>1322742</t>
  </si>
  <si>
    <t>MECH SEAL MSI-2648 35MM SHAFT SLEEVE</t>
  </si>
  <si>
    <t>1322743</t>
  </si>
  <si>
    <t>MECH SEAL MSI-2648 35MM RETAINER</t>
  </si>
  <si>
    <t>1322744</t>
  </si>
  <si>
    <t>MECH SEAL MSI-2648 35MM SPRING</t>
  </si>
  <si>
    <t>1322745</t>
  </si>
  <si>
    <t>MECH SEAL MSI-2648 35MM SLEEVE GASKET</t>
  </si>
  <si>
    <t>1322746</t>
  </si>
  <si>
    <t>MECH SEAL MSI-2648 35MM GLAND GASKET</t>
  </si>
  <si>
    <t>1322747</t>
  </si>
  <si>
    <t>MECH SEAL MSI-2648 35MM SLEEVE O-RING</t>
  </si>
  <si>
    <t>1322776</t>
  </si>
  <si>
    <t>MECH SEAL MSI-2659 35MM SEAL RING</t>
  </si>
  <si>
    <t>1322777</t>
  </si>
  <si>
    <t>MECH SEAL MSI-2659 35MM MATING RING</t>
  </si>
  <si>
    <t>1322778</t>
  </si>
  <si>
    <t>MECH SEAL MSI-2659 35MM O-RING SEAL RING</t>
  </si>
  <si>
    <t>1322779</t>
  </si>
  <si>
    <t>MECH SEAL MSI-2659 35MM O-RING MATING</t>
  </si>
  <si>
    <t>1322780</t>
  </si>
  <si>
    <t>MECH SEAL MSI-2659 35MM SHAFT SLEEVE</t>
  </si>
  <si>
    <t>1322781</t>
  </si>
  <si>
    <t>MECH SEAL MSI-2659 35MM RETAINER</t>
  </si>
  <si>
    <t>1322782</t>
  </si>
  <si>
    <t>MECH SEAL MSI-2659 35MM SPRING</t>
  </si>
  <si>
    <t>1322783</t>
  </si>
  <si>
    <t>MECH SEAL MSI-2659 35MM SLEEVE GASKET</t>
  </si>
  <si>
    <t>1322784</t>
  </si>
  <si>
    <t>MECH SEAL MSI-2659 35MM GLAND GASKET</t>
  </si>
  <si>
    <t>1322785</t>
  </si>
  <si>
    <t>MECH SEAL MSI-2659 35MM AUX SLEEVE</t>
  </si>
  <si>
    <t>1322786</t>
  </si>
  <si>
    <t>MECH SEAL MSI-2659 35MM O-RING SLEEVE</t>
  </si>
  <si>
    <t>1322787</t>
  </si>
  <si>
    <t>MECH SEAL MSI-2665 45MM SEAL RING</t>
  </si>
  <si>
    <t>1322788</t>
  </si>
  <si>
    <t>MECH SEAL MSI-2665 45MM MATING RING</t>
  </si>
  <si>
    <t>1322789</t>
  </si>
  <si>
    <t>MECH SEAL MSI-2665 45MM O-RING SEAL RING</t>
  </si>
  <si>
    <t>1322790</t>
  </si>
  <si>
    <t>MECH SEAL MSI-2665 45MM O-RING MATING</t>
  </si>
  <si>
    <t>1322791</t>
  </si>
  <si>
    <t>MECH SEAL MSI-2665 45MM SHAFT SLEEVE</t>
  </si>
  <si>
    <t>1322792</t>
  </si>
  <si>
    <t>MECH SEAL MSI-2665 45MM RETAINER</t>
  </si>
  <si>
    <t>1322793</t>
  </si>
  <si>
    <t>MECH SEAL MSI-2665 45MM SPRING</t>
  </si>
  <si>
    <t>00380</t>
  </si>
  <si>
    <t>1322794</t>
  </si>
  <si>
    <t>MECH SEAL MSI-2665 45MM SLEEVE GASKET</t>
  </si>
  <si>
    <t>00390</t>
  </si>
  <si>
    <t>1322795</t>
  </si>
  <si>
    <t>MECH SEAL MSI-2665 45MM GLAND GASKET</t>
  </si>
  <si>
    <t>00400</t>
  </si>
  <si>
    <t>1322847</t>
  </si>
  <si>
    <t>MECH SEAL MSI-2647 35MM O-RING SEAL RING</t>
  </si>
  <si>
    <t>00410</t>
  </si>
  <si>
    <t>1322848</t>
  </si>
  <si>
    <t>MECH SEAL MSI-2647 35MM MR PACKING</t>
  </si>
  <si>
    <t>00420</t>
  </si>
  <si>
    <t>1322851</t>
  </si>
  <si>
    <t>MECH SEAL MSI-2647 35MM SLEEVE GASKET</t>
  </si>
  <si>
    <t>00430</t>
  </si>
  <si>
    <t>1322852</t>
  </si>
  <si>
    <t>MECH SEAL MSI-2647 35MM GLAND GASKET</t>
  </si>
  <si>
    <t>00440</t>
  </si>
  <si>
    <t>1322854</t>
  </si>
  <si>
    <t>MECH SEAL MSI-2647 35MM O-RING SLEEVE</t>
  </si>
  <si>
    <t>00450</t>
  </si>
  <si>
    <t>1322857</t>
  </si>
  <si>
    <t>MECH SEAL MSI-2639 66.67MM O-RING SR</t>
  </si>
  <si>
    <t>00460</t>
  </si>
  <si>
    <t>1322858</t>
  </si>
  <si>
    <t>MECH SEAL MSI-2639 66.67MM O-RING MR</t>
  </si>
  <si>
    <t>00470</t>
  </si>
  <si>
    <t>1322860</t>
  </si>
  <si>
    <t>MECH SEAL MSI-2639 66.67MM SPRING</t>
  </si>
  <si>
    <t>00480</t>
  </si>
  <si>
    <t>1322861</t>
  </si>
  <si>
    <t>MECH SEAL MSI-2639 66.67MM SLEEVE GASKET</t>
  </si>
  <si>
    <t>00490</t>
  </si>
  <si>
    <t>1322862</t>
  </si>
  <si>
    <t>MECH SEAL MSI-2639 66.67MM GLAND GASKET</t>
  </si>
  <si>
    <t>00500</t>
  </si>
  <si>
    <t>1322864</t>
  </si>
  <si>
    <t>MECH SEAL MSI-2639 66.67M ORING SLEEVE-H</t>
  </si>
  <si>
    <t>00510</t>
  </si>
  <si>
    <t>1322865</t>
  </si>
  <si>
    <t>MECH SEAL MSI-2639 66.67M ORING SLEEVE-I</t>
  </si>
  <si>
    <t>1100017251</t>
  </si>
  <si>
    <t>1311323</t>
  </si>
  <si>
    <t>EPIL Y15D022 MATING RING SIC</t>
  </si>
  <si>
    <t>EPIL DRG NO-B00072 B4 OA</t>
  </si>
  <si>
    <t>20150812</t>
  </si>
  <si>
    <t>1311139</t>
  </si>
  <si>
    <t>EPIL Y14D022 MATING RING SIC</t>
  </si>
  <si>
    <t>EPIL DRG NO-B01312 AA OA</t>
  </si>
  <si>
    <t>1311304</t>
  </si>
  <si>
    <t>EPIL Y14D22 SR ASSY</t>
  </si>
  <si>
    <t>1311116</t>
  </si>
  <si>
    <t>EPIL Y14D018 SR ASSY-100.00</t>
  </si>
  <si>
    <t>EPIL DRG NO-B01000 AF OA / B00146AC OA</t>
  </si>
  <si>
    <t>1311188</t>
  </si>
  <si>
    <t>EPIL Y14D024/Y14D024 SR ASSY IB</t>
  </si>
  <si>
    <t>EPIL DRG NO-B00998 AB OB</t>
  </si>
  <si>
    <t>1311189</t>
  </si>
  <si>
    <t>EPIL Y14D024/Y14D024 SR ASSY OB</t>
  </si>
  <si>
    <t>1311183</t>
  </si>
  <si>
    <t>EPIL Y14D024/Y14D024 MATING RING IB SIC</t>
  </si>
  <si>
    <t>1311184</t>
  </si>
  <si>
    <t>EPIL Y14D024/Y14D024 MATING RING OB SIC</t>
  </si>
  <si>
    <t>1311318</t>
  </si>
  <si>
    <t>EPIL Y14D30/Y14D30 SR ASSY</t>
  </si>
  <si>
    <t>1311250</t>
  </si>
  <si>
    <t>EPIL Y14D030/Y14D030 MATING RING IB SIC</t>
  </si>
  <si>
    <t>1311206</t>
  </si>
  <si>
    <t>EPIL Y14D026 SULZER SR ASSY</t>
  </si>
  <si>
    <t>1311299</t>
  </si>
  <si>
    <t>EPIL Y14D038/Y14D036 SR ASSY OB</t>
  </si>
  <si>
    <t>1100017265</t>
  </si>
  <si>
    <t>1322835</t>
  </si>
  <si>
    <t>GASKET CAF STYLE59 949X906X3MM-CART FLT</t>
  </si>
  <si>
    <t>1322836</t>
  </si>
  <si>
    <t>GASKET CAF STYLE59 1120X1055X3MM-CART FL</t>
  </si>
  <si>
    <t>1322837</t>
  </si>
  <si>
    <t>GASKET CAF STYLE59 1432X1352X3MM-AMA FLT</t>
  </si>
  <si>
    <t>1322879</t>
  </si>
  <si>
    <t>GASKET CAF STYLE-59 33MMX74MMX3MMTHK</t>
  </si>
  <si>
    <t>1100016491</t>
  </si>
  <si>
    <t>1306656</t>
  </si>
  <si>
    <t>GASKET SHEET CAF STYLE 59 1MMTHK CHAMP</t>
  </si>
  <si>
    <t>20150629</t>
  </si>
  <si>
    <t>1306654</t>
  </si>
  <si>
    <t>GASKET SHEET CAF STYLE 59 0.5MMTHK CHAMP</t>
  </si>
  <si>
    <t>1306655</t>
  </si>
  <si>
    <t>GASKET SHEET CAF STYLE 59 1.5MMTHK</t>
  </si>
  <si>
    <t>1100014325</t>
  </si>
  <si>
    <t>1306810</t>
  </si>
  <si>
    <t>GASKET SS316L SW GR.FL. 600X570X4.5MM</t>
  </si>
  <si>
    <t>20150315</t>
  </si>
  <si>
    <t>1100016656</t>
  </si>
  <si>
    <t>1312337</t>
  </si>
  <si>
    <t>VALVE GATE SS304 FE 2" 150#</t>
  </si>
  <si>
    <t xml:space="preserve">VALVE TYPE : GATE
BODY MATERIAL : Type 304, Cast Stainless Steel to ASTM A351
GR.CF8.
CLASS : 150 #
SIZE RANGE : 2"
BONNET TYPE : Outside screw &amp; yoke bolted bonnet, bolts
ASTM A193-B8, nuts A194-8.
BONNET GASKET : Spiral wound type 304 stainless steel with
Graphite filler.
ENDS : Flanged ASME B16.5, class 150, R.F
SEAT : Integral.
GATE : Full port, one piece flexible wedge, type 304
Stainless Steel.
STEM : Type 304 Stainless Steel.
STEM PACKING : Grafoil (High Temperature Service).
DESIGN STANDARD : API 600
DIMENSION : ASME B16.10
INSPECTION &amp; TESTING : API 598
</t>
  </si>
  <si>
    <t>20150701</t>
  </si>
  <si>
    <t>1312322</t>
  </si>
  <si>
    <t>VALVE GATE CS SW 1/2" 800#</t>
  </si>
  <si>
    <t xml:space="preserve">FORGED CARBON STEEL, GATE VALVE, DISC TYPE , CLASS 800, SOCKET WELD ENDS TO ASME B16.11
BODY A105 TRIM 13% CR +STELL
HAND WHEEL
</t>
  </si>
  <si>
    <t>1312317</t>
  </si>
  <si>
    <t>VALVE GATE CS SW 1" 800#</t>
  </si>
  <si>
    <t>1100017615</t>
  </si>
  <si>
    <t>WO TO HI-TECH SEALING-SEAL LAPP-JUN-15</t>
  </si>
  <si>
    <t>AU</t>
  </si>
  <si>
    <t>1100017591</t>
  </si>
  <si>
    <t>WO TO AIRKOM-SCREW ELEMENT RECONDITION</t>
  </si>
  <si>
    <t>20150805</t>
  </si>
  <si>
    <t>1100017531</t>
  </si>
  <si>
    <t>WO TO SAI TECH-HOIST OVERHAUL/CPB TEST</t>
  </si>
  <si>
    <t>1100017533</t>
  </si>
  <si>
    <t>WO TO THERMAL ENGG-COST SAVING INSUL JOB</t>
  </si>
  <si>
    <t>1100017537</t>
  </si>
  <si>
    <t>WO TO PRANAV ENGG-BILL-7033/37/39</t>
  </si>
  <si>
    <t>1100016350</t>
  </si>
  <si>
    <t>WO TO KEVIN ENT-C-301/502 PACKING MODIFI</t>
  </si>
  <si>
    <t>20150609</t>
  </si>
  <si>
    <t>1100017535</t>
  </si>
  <si>
    <t>1316591</t>
  </si>
  <si>
    <t>CONVEYAR BELT 25870 X 500 X 3 MM</t>
  </si>
  <si>
    <t>20150914</t>
  </si>
  <si>
    <t>1100016997</t>
  </si>
  <si>
    <t>1319192</t>
  </si>
  <si>
    <t>CONVEYOR BELT 560MMX8900MM ENDLESS 3PLY</t>
  </si>
  <si>
    <t>MATERIAL REQUIRED FOR NEW FLAKKER PLANT FLAKKER NO-1 BELT CONVEYOR.
CONVEYOR BELT 560 MM WIDE x 8900 MM X 8 MM THICK ENDLESS LENGTH, 3 PLY RATING 315/3,3mm top, 2mm Bottom, 3mm Carcass in Nylon, WHITE COLOUR FOOD GRADE RUBBER BELT, M24 GRADE SUITABLE FOR 110 DEGREE
TEMPERATURE.
FOOD GRADE BELT CERTIFICATE REQUIRED ALONG WITH MATERIAL
AS PER LAST PO NO-3000008114  DT-21.03.14
SUPPLIER-DHANVANTHRI ENGINEERS PVT LTD</t>
  </si>
  <si>
    <t>1100016965</t>
  </si>
  <si>
    <t>1300142</t>
  </si>
  <si>
    <t>BAR KEY 10MM X 10MM</t>
  </si>
  <si>
    <t>20150708</t>
  </si>
  <si>
    <t>1300143</t>
  </si>
  <si>
    <t>BAR KEY 12MM X 12MM</t>
  </si>
  <si>
    <t>1300144</t>
  </si>
  <si>
    <t>BAR KEY 3MM X 3MM</t>
  </si>
  <si>
    <t>1300145</t>
  </si>
  <si>
    <t>BAR KEY 4MM X 4MM</t>
  </si>
  <si>
    <t>1300146</t>
  </si>
  <si>
    <t>BAR KEY 5MM X 5MM</t>
  </si>
  <si>
    <t>1300147</t>
  </si>
  <si>
    <t>BAR KEY 6MM X 6MM</t>
  </si>
  <si>
    <t>1300148</t>
  </si>
  <si>
    <t>BAR KEY 8MM X 8MM</t>
  </si>
  <si>
    <t>1100017603</t>
  </si>
  <si>
    <t>1313617</t>
  </si>
  <si>
    <t>OIL PAPER 0.1MM</t>
  </si>
  <si>
    <t>M2</t>
  </si>
  <si>
    <t>20150820</t>
  </si>
  <si>
    <t>1313619</t>
  </si>
  <si>
    <t>OIL PAPER 0.2MM</t>
  </si>
  <si>
    <t>1313620</t>
  </si>
  <si>
    <t>OIL PAPER 0.3MM</t>
  </si>
  <si>
    <t>1313621</t>
  </si>
  <si>
    <t>OIL PAPER 0.4MM</t>
  </si>
  <si>
    <t>1313622</t>
  </si>
  <si>
    <t>OIL PAPER 0.5MM</t>
  </si>
  <si>
    <t>1100017052</t>
  </si>
  <si>
    <t>1304139</t>
  </si>
  <si>
    <t>BEARING 7206</t>
  </si>
  <si>
    <t>20150720</t>
  </si>
  <si>
    <t>3000022378</t>
  </si>
  <si>
    <t>1304118</t>
  </si>
  <si>
    <t>BEARING 6316 C4</t>
  </si>
  <si>
    <t>1100015927</t>
  </si>
  <si>
    <t>1303913</t>
  </si>
  <si>
    <t>BEARING 5212</t>
  </si>
  <si>
    <t>20150610</t>
  </si>
  <si>
    <t>3000020674</t>
  </si>
  <si>
    <t>1100015928</t>
  </si>
  <si>
    <t>1316201</t>
  </si>
  <si>
    <t>BEARING CYLINDRICAL ROLLER NNC 4928 CV</t>
  </si>
  <si>
    <t>20150630</t>
  </si>
  <si>
    <t>3000020902</t>
  </si>
  <si>
    <t>1311371</t>
  </si>
  <si>
    <t>REFORMER GASKET SW GR.FL.740X655X620X600</t>
  </si>
  <si>
    <t>3000018621</t>
  </si>
  <si>
    <t>1311370</t>
  </si>
  <si>
    <t>REFORMER GASKET GRAFITE 652X620X3MM</t>
  </si>
  <si>
    <t>1100010912</t>
  </si>
  <si>
    <t>1312295</t>
  </si>
  <si>
    <t>VALVE GATE CS FE 1" 150#</t>
  </si>
  <si>
    <t>20141001</t>
  </si>
  <si>
    <t>3000013751</t>
  </si>
  <si>
    <t>1100008162</t>
  </si>
  <si>
    <t>1318998</t>
  </si>
  <si>
    <t>FORKLIFT EVX25HVT2180 TYRE FRONT</t>
  </si>
  <si>
    <t>20140625</t>
  </si>
  <si>
    <t>3000014861</t>
  </si>
  <si>
    <t>1100008043</t>
  </si>
  <si>
    <t>20140801</t>
  </si>
  <si>
    <t>3000010188</t>
  </si>
  <si>
    <t>1100007941</t>
  </si>
  <si>
    <t>1313339</t>
  </si>
  <si>
    <t>OIL SEAL RUBBER 187X275X37</t>
  </si>
  <si>
    <t>20140526</t>
  </si>
  <si>
    <t>3000009613</t>
  </si>
  <si>
    <t>1100007312</t>
  </si>
  <si>
    <t>1319371</t>
  </si>
  <si>
    <t>PUMP MICROFINISH 3K SHAFT SS-316</t>
  </si>
  <si>
    <t>20140512</t>
  </si>
  <si>
    <t>3000014872</t>
  </si>
  <si>
    <t>1100005129</t>
  </si>
  <si>
    <t>1318603</t>
  </si>
  <si>
    <t>COMP D&amp;R SEAT INLET-F30758MB1</t>
  </si>
  <si>
    <t>20140210</t>
  </si>
  <si>
    <t>3000006248</t>
  </si>
  <si>
    <t>1318604</t>
  </si>
  <si>
    <t>COMP D&amp;R SEAT DISCH-F30760MB1</t>
  </si>
  <si>
    <t>1100005076</t>
  </si>
  <si>
    <t>1318579</t>
  </si>
  <si>
    <t>SPIRAL HEAT EXCHANGER 18M2 E-201</t>
  </si>
  <si>
    <t>20140102</t>
  </si>
  <si>
    <t>3000005891</t>
  </si>
  <si>
    <t>1100003395</t>
  </si>
  <si>
    <t>1310455</t>
  </si>
  <si>
    <t>ORBIT 805L-55MM WEDGE</t>
  </si>
  <si>
    <t>20131012</t>
  </si>
  <si>
    <t>3000007746</t>
  </si>
  <si>
    <t>1100003396</t>
  </si>
  <si>
    <t>1310621</t>
  </si>
  <si>
    <t>ORBIT 1.7/8" MR PACKING IB</t>
  </si>
  <si>
    <t>1100000283</t>
  </si>
  <si>
    <t>1313986</t>
  </si>
  <si>
    <t>ER-402 GSKT SS316L SW GR.FL1296X1326X4.5</t>
  </si>
  <si>
    <t>20130612</t>
  </si>
  <si>
    <t>3000000297</t>
  </si>
  <si>
    <t>1100000114</t>
  </si>
  <si>
    <t>1316152</t>
  </si>
  <si>
    <t>FORKLIFT DVX30FCBCT TRIPLEX CYL.SEAL KIT</t>
  </si>
  <si>
    <t>20130609</t>
  </si>
  <si>
    <t>3000000193</t>
  </si>
  <si>
    <t>1100016899</t>
  </si>
  <si>
    <t>1305966</t>
  </si>
  <si>
    <t>COUPLING LJ DISCPACK LM-170 I/IIDP</t>
  </si>
  <si>
    <t>20150722</t>
  </si>
  <si>
    <t>3000022419</t>
  </si>
  <si>
    <t>1305967</t>
  </si>
  <si>
    <t>COUPLING LJ DISCPACK LM-220 I/IIDP</t>
  </si>
  <si>
    <t>1305968</t>
  </si>
  <si>
    <t>COUPLING LJ DISCPACK LM-55 I/IIDP</t>
  </si>
  <si>
    <t>1306059</t>
  </si>
  <si>
    <t>COUPLING TYRE RUBBER RA-18</t>
  </si>
  <si>
    <t>3000022934</t>
  </si>
  <si>
    <t>Eagle Burgmann India P Ltd</t>
  </si>
  <si>
    <t>Mechanical Seal Spares</t>
  </si>
  <si>
    <t>3000023302 &amp;3000023317 dated 19.08.2015</t>
  </si>
  <si>
    <t>Rs.243374 i.e 10 % cost saving compared to last Yr.2014 PO rates of Eagle Burgmann Pvt Ltd</t>
  </si>
  <si>
    <t>Last PO rate</t>
  </si>
  <si>
    <t>Quoted Rates</t>
  </si>
  <si>
    <t>60%-Disc.Rates</t>
  </si>
  <si>
    <t>EPIL P13D018 SLEEVE GASKET</t>
  </si>
  <si>
    <t>EBIPL DRG NO-A00229 AF OA,PUMP MODEL NO-KPD-20/16,PUMP TAG NO-P-916A/B</t>
  </si>
  <si>
    <t>EPIL P13D018 GLAND GASKET</t>
  </si>
  <si>
    <t>EPIL P14D024 SLEEVE GASKET-444.04</t>
  </si>
  <si>
    <t>EBIPL DRG NO-A00939 AB OA,PUMP MODEL NO-CPK-C-32-160,PUMP TAG NO-07G01A/B</t>
  </si>
  <si>
    <t>EPIL P14D024 STUB SLEEVE-425.00</t>
  </si>
  <si>
    <t>EPIL P14D024 WEDGE-222.00</t>
  </si>
  <si>
    <t>EPIL P14D024 MR COMPOSITE-301.00</t>
  </si>
  <si>
    <t>EPIL P14D024 MR O RING-111.30</t>
  </si>
  <si>
    <t>EPIL P14D024 SLEEVE O RING-111.04</t>
  </si>
  <si>
    <t>EPIL P14/P14D024 GLAND GASKET</t>
  </si>
  <si>
    <t>EBIPL DRG NO-A03990AB OA,PUMP MODEL NO-CPK-CM-50-200,PUMP TAG NO-03G3A/B</t>
  </si>
  <si>
    <t>EPIL P14/P14D024 GASKET</t>
  </si>
  <si>
    <t>EPIL P14/P14D024 SLEEVE GASKET</t>
  </si>
  <si>
    <t>EPIL P14/P14D024 WEDGE OB</t>
  </si>
  <si>
    <t>EPIL P14/P14D030 MR O RING OB</t>
  </si>
  <si>
    <t>EBIPL DRG NO-A03530AB OB / A03986AB OA,PUMP MODEL NO-CPK-CM-80-250,PUMP TAG NO-P-305A/B, 03G15A/B</t>
  </si>
  <si>
    <t>EPIL P14/P14D030 MR PACKING IB</t>
  </si>
  <si>
    <t>EPIL P14/P14D030 MR CARRIER GASKET</t>
  </si>
  <si>
    <t>EPIL P14/P14D030 GLAND GASKET</t>
  </si>
  <si>
    <t>EPIL P14/P14D030 GASKET</t>
  </si>
  <si>
    <t>EPIL P14/P14D030 SLEEVE GASKET</t>
  </si>
  <si>
    <t>EPIL P14/P14D030 WEDGE IB</t>
  </si>
  <si>
    <t>EPIL P13/P13D030 MR O RING IB</t>
  </si>
  <si>
    <t>EPIL P14D030 WEDGE</t>
  </si>
  <si>
    <t>EBIPL DRG NO-A05418AB OA,PUMP MODEL NO-2K-2X1-LF10,PUMP TAG NO-P-419A/B</t>
  </si>
  <si>
    <t>EPIL P14D030 MR PACKING</t>
  </si>
  <si>
    <t>EPIL P14D030 SLEEVE</t>
  </si>
  <si>
    <t>EPIL P14D030 GLAND GASKET</t>
  </si>
  <si>
    <t>EPIL P14D030 SLEEVE GASKET</t>
  </si>
  <si>
    <t>EPIL P14D070/P11D070 SET OF O RING</t>
  </si>
  <si>
    <t>EBIPL DRG NO-A08481AA OA,FOR OLD SPD DALALMAKE</t>
  </si>
  <si>
    <t>EPIL P12DIN0048 GLAND O RING</t>
  </si>
  <si>
    <t>EBIPL DRG NO-C00860BB OA, PUMP MODEL NO-JOHNSON CCR-65-200,PUMP TAG NO-P-824</t>
  </si>
  <si>
    <t>EPIL P12DIN0048 MR O RING</t>
  </si>
  <si>
    <t>EPIL P12DIN0048 WEDGE</t>
  </si>
  <si>
    <t>EPIL E12D0048 GLAND GASKET-444.05</t>
  </si>
  <si>
    <t>EBIPL DRG NO-C01933 OA,PUMP MODEL NO-JOHNSON-CCR-32-250,PUMP TAG NO-P-450 A/B</t>
  </si>
  <si>
    <t>EPIL E12D0048 MATING RING-300.00</t>
  </si>
  <si>
    <t>EPIL E12D0048 MR O RING-111.30</t>
  </si>
  <si>
    <t>EPIL E12D0048 SR COMPOSITE-201.00</t>
  </si>
  <si>
    <t>EPIL E12D0035 GLAND GASKET-444.05</t>
  </si>
  <si>
    <t>EBIPL DRG NO-C01625 1A,PUMP MODEL NO-JOHNSON-CCR-40C-200,PUMP TAG NO-P-451 A/B</t>
  </si>
  <si>
    <t>EPIL E12D0035 MR O RING-111.30</t>
  </si>
  <si>
    <t>EPIL E12D0035 SLEEVE-400.00</t>
  </si>
  <si>
    <t>EPIL E12D0035 SLEEVE GASKET-444.04</t>
  </si>
  <si>
    <t>EGBURG H75KP-95/H75-90 MATING RING IB</t>
  </si>
  <si>
    <t>EBIPL DRG NO-09-H75VKP-D1/95-E12-2A,PUMP MODEL NO-RPH 250-501,PUMP TAG NO-P-705B</t>
  </si>
  <si>
    <t>EGBURG H75KP-95/H75-90 MATING RING OB</t>
  </si>
  <si>
    <t>EGBURG H75KP-95/H75-90 O RING SET</t>
  </si>
  <si>
    <t>EGBURG H75KP-95/H75-90 SEAL FACE IB</t>
  </si>
  <si>
    <t>EGBURG H75KP-95/H75-90 SEAL FACE OB</t>
  </si>
  <si>
    <t>EPIL LL9AW0043 GLAND GASKET-444.05</t>
  </si>
  <si>
    <t>EPIL DRG NO-A10466 OA,PUMP MODEL NO-JOHNSON-CCR 65C-200,PUMP TAG NO-P-452A/B</t>
  </si>
  <si>
    <t>EPIL LL9AW0043 GLAND O RING-111.05</t>
  </si>
  <si>
    <t>EPIL LL9AW0043 MATING RING-300.00</t>
  </si>
  <si>
    <t>EPIL LL9AW0043 MR O RING</t>
  </si>
  <si>
    <t>EPIL LL9AW0043 SEAL RING-200.00</t>
  </si>
  <si>
    <t>EPIL LL9AW0043 SR O RING-111.20</t>
  </si>
  <si>
    <t>EPIL LL9AW0043 SLEEVE GASKET-444.04</t>
  </si>
  <si>
    <t>EPIL E12D018 MR O RING-111.30</t>
  </si>
  <si>
    <t>EPIL DRG NO-C00187 AK 0B,PUMP MODEL NO-SULZER-40X32-200,PUMP TAG NO-P-101</t>
  </si>
  <si>
    <t>EPIL E12D018 SR COMPOSITE-201.00</t>
  </si>
  <si>
    <t>EPIL E12D018 V PACKING-333.00</t>
  </si>
  <si>
    <t>EPIL E12D018 SLEEVE GASKET-444.04</t>
  </si>
  <si>
    <t>EPIL E12D018 GLAND GASKET-444.05</t>
  </si>
  <si>
    <t>EPIL P13D024 SEAL RING-200.00</t>
  </si>
  <si>
    <t>EPIL DRG NO-A00177AD OA,PUMP MODEL NO-CPK-C-32-200,PUMP TAG NO-P-806A/B</t>
  </si>
  <si>
    <t>EPIL P13D030 GLAND GASKET-444.05</t>
  </si>
  <si>
    <t>EPIL DRG NO-A01413 AC OA,PUMP MODEL NO-2K-2X1-10A,PUMP TAG NO-P-408A/B</t>
  </si>
  <si>
    <t>EPIL P13D030 SLEEVE GASKET-444.04</t>
  </si>
  <si>
    <t>EPIL P13D030 MR O RING-111.30</t>
  </si>
  <si>
    <t>EPIL P13 D030 MATING RING SIC</t>
  </si>
  <si>
    <t>EPIL P13 D030 SEAL RING CARBON</t>
  </si>
  <si>
    <t>EPIL P13 D030 SLEEVE</t>
  </si>
  <si>
    <t>EPIL P14/P14D034 SEAL RING IB</t>
  </si>
  <si>
    <t>EPIL DRG NO-A06223 AB OA / A07531AB OA,PUMP MODEL NO-MICROFINISH-2K,PUMP TAG NO-P-306 A/B, P-431 A/B</t>
  </si>
  <si>
    <t>EPIL P14/P14D034 SEAL RING OB</t>
  </si>
  <si>
    <t>EPIL P14/P14D034 SR O RING IB</t>
  </si>
  <si>
    <t>EPIL P14/P14D034 SR O RING OB</t>
  </si>
  <si>
    <t>EPIL P14/P14D034 MR O RING IB</t>
  </si>
  <si>
    <t>EPIL P14/P14D034 MR O RING OB</t>
  </si>
  <si>
    <t>EPIL P14/P14D034 GLAND GASKET</t>
  </si>
  <si>
    <t>EPIL P14/P14D034 SLEEVE</t>
  </si>
  <si>
    <t>EPIL P14/P14D034 SLEEVE GASKET</t>
  </si>
  <si>
    <t>EPIL P14/P14D034 WEDGE OB</t>
  </si>
  <si>
    <t>EPIL P14/P14D034 SPRING IB HAST-C</t>
  </si>
  <si>
    <t>EPIL P14/P14D034 SPRING OB HAST-C</t>
  </si>
  <si>
    <t>EPIL P13D026 MR O RING-111.30</t>
  </si>
  <si>
    <t>EPIL DRG NO-A00560 AB OA / A00754 AB OA // A00562 AB OA,PUMP MODEL NO-SULZER-MB-40/12 // SULZER-MB-40/11,PUMP TAG NO-10G03A/B // 10G04A/B</t>
  </si>
  <si>
    <t>EPILP22/P12DIN035 SEAL RING ASSLY-OB</t>
  </si>
  <si>
    <t>EPIL DRG NO-A03009 AC OA / A06879AA OA,PUMP MODEL NO-JOHNSON CCR-32-200,PUMP TAG NO-P-703A/B</t>
  </si>
  <si>
    <t>EPIL P22/P12DIN0035 MR CARRIER O RING</t>
  </si>
  <si>
    <t>EPIL P22/P12DIN0035 GLAND O RING</t>
  </si>
  <si>
    <t>EPIL P22/P12DIN0035 MR O RING IB</t>
  </si>
  <si>
    <t>EPIL P22/P12DIN0035 MR O RING OB</t>
  </si>
  <si>
    <t>EPIL P22/P12DIN0035 SEAL RING OB</t>
  </si>
  <si>
    <t>EPIL P22/P12DIN0035 SR COMPOSITE IB</t>
  </si>
  <si>
    <t>EPIL P22/P12DIN0035 WEDGE IB</t>
  </si>
  <si>
    <t>EPIL P22/P12DIN0035 WEDGE OB</t>
  </si>
  <si>
    <t>EPIL P22/P12DIN0035 MATING RING IB</t>
  </si>
  <si>
    <t>EPIL P22/P12DIN0035 MATING RING OB</t>
  </si>
  <si>
    <t>EPIL P22/P12DIN0035 SLEEVE</t>
  </si>
  <si>
    <t>EPIL P22/P12DIN0035 SLEEVE GASKET</t>
  </si>
  <si>
    <t>EPIL P22/P12DIN0035 GLAND GASKET</t>
  </si>
  <si>
    <t>EPIL P22/P12DIN0035 SPRING IB</t>
  </si>
  <si>
    <t>EPIL P22/P12DIN0035 SPRING OB</t>
  </si>
  <si>
    <t>EPIL P22/P12DIN0035 THRUST WASHER OB</t>
  </si>
  <si>
    <t>Total</t>
  </si>
  <si>
    <t>Savings Reference to Last PO Rates</t>
  </si>
  <si>
    <t xml:space="preserve">                    97,145.00 </t>
  </si>
  <si>
    <t>Rs.97185 i.e 11 % cost saving compared to last Yr.2014 PO rates of Eagle Burgmann Pvt Ltd</t>
  </si>
  <si>
    <t>PO-3000024386  dated 29.09.2015</t>
  </si>
  <si>
    <t>581 Nos.</t>
  </si>
  <si>
    <t>Last PO Rates</t>
  </si>
  <si>
    <t>Ekta Enterprises</t>
  </si>
  <si>
    <t>Siddharth Trading Co.</t>
  </si>
  <si>
    <t xml:space="preserve">Ref. Email Offer Q180-15 dtd 14.09.2015 </t>
  </si>
  <si>
    <t xml:space="preserve">Ref. Offer STC/QTN/15-16/827 dtd 12.09.2015 </t>
  </si>
  <si>
    <t xml:space="preserve">Ref. Offer STC/QTN/15-16/827 dtd 21.09.2015 </t>
  </si>
  <si>
    <t xml:space="preserve">Ref. Email Offer Q180-15 dtd 10.10.2015 </t>
  </si>
  <si>
    <t>Abhay Kothila-09376229307</t>
  </si>
  <si>
    <t>022-21723544</t>
  </si>
  <si>
    <t>PR NO</t>
  </si>
  <si>
    <t>Item Line No.</t>
  </si>
  <si>
    <t>SHIMS RS-1 0.05MM</t>
  </si>
  <si>
    <t>1100017172</t>
  </si>
  <si>
    <t>SHIMS RS-1 0.1MM</t>
  </si>
  <si>
    <t>3</t>
  </si>
  <si>
    <t>SHIMS RS-1 0.2MM</t>
  </si>
  <si>
    <t>4</t>
  </si>
  <si>
    <t>SHIMS RS-1 0.5MM</t>
  </si>
  <si>
    <t>5</t>
  </si>
  <si>
    <t>SHIMS RS-1 1MM</t>
  </si>
  <si>
    <t>6</t>
  </si>
  <si>
    <t>SHIMS RS-1 2MM</t>
  </si>
  <si>
    <t>7</t>
  </si>
  <si>
    <t>SHIMS RS-2 0.05MM</t>
  </si>
  <si>
    <t>8</t>
  </si>
  <si>
    <t>SHIMS RS-2 0.1MM</t>
  </si>
  <si>
    <t>9</t>
  </si>
  <si>
    <t>SHIMS RS-2 0.2MM</t>
  </si>
  <si>
    <t>10</t>
  </si>
  <si>
    <t>SHIMS RS-2 0.5MM</t>
  </si>
  <si>
    <t>11</t>
  </si>
  <si>
    <t>SHIMS RS-2 1MM</t>
  </si>
  <si>
    <t>12</t>
  </si>
  <si>
    <t>SHIMS RS-2 2MM</t>
  </si>
  <si>
    <t>13</t>
  </si>
  <si>
    <t>SHIMS RS-3 0.05MM</t>
  </si>
  <si>
    <t>14</t>
  </si>
  <si>
    <t>SHIMS RS-3 0.1MM</t>
  </si>
  <si>
    <t>15</t>
  </si>
  <si>
    <t>SHIMS RS-3 0.2MM</t>
  </si>
  <si>
    <t>16</t>
  </si>
  <si>
    <t>SHIMS RS-3 0.5MM</t>
  </si>
  <si>
    <t>17</t>
  </si>
  <si>
    <t>SHIMS RS-3 1MM</t>
  </si>
  <si>
    <t>18</t>
  </si>
  <si>
    <t>SHIMS RS-3 2MM</t>
  </si>
  <si>
    <t>19</t>
  </si>
  <si>
    <t>SHIMS RS-4 0.05MM</t>
  </si>
  <si>
    <t>20</t>
  </si>
  <si>
    <t>SHIMS RS-4 0.1MM</t>
  </si>
  <si>
    <t>21</t>
  </si>
  <si>
    <t>SHIMS RS-4 0.2MM</t>
  </si>
  <si>
    <t>22</t>
  </si>
  <si>
    <t>SHIMS RS-4 0.5MM</t>
  </si>
  <si>
    <t>23</t>
  </si>
  <si>
    <t>SHIMS RS-4 1MM</t>
  </si>
  <si>
    <t>24</t>
  </si>
  <si>
    <t>SHIMS RS-4 2MM</t>
  </si>
  <si>
    <t>3 Weeks</t>
  </si>
  <si>
    <t xml:space="preserve">100% against delivery within 7 days </t>
  </si>
  <si>
    <t xml:space="preserve">100% against delivery within 30 days </t>
  </si>
  <si>
    <t>M/S Ekta Enterprises</t>
  </si>
  <si>
    <t>SS304 Tab type Shims</t>
  </si>
  <si>
    <t>1030 Nos.</t>
  </si>
  <si>
    <t>PO-3000024181  dated 21.09.2015</t>
  </si>
  <si>
    <t>Rs.21111/-40%  Cost Saving Compared to Rathi make shims/ VVF Technical User PR requirement was Rathi make Model RS-1,2,3,4 shims,Rathi make Authorised Dealer M/S.Siddhart Trading Co. initially quoted Huge price offer Quoted total -7,01000 offered 25% final discount total was 525750, Hence develop well established Shims Manufacturer M/S Ekta Enterprises final price offer Total =Rs.31464 After placing Order to New Vendor, M/S.Siddharth Trading Co. submit us Corrected Final price offer of Rs.52575/-</t>
  </si>
  <si>
    <t>Quoted price</t>
  </si>
  <si>
    <t>Negotiated price</t>
  </si>
  <si>
    <t>Negotiated Rate Per KG</t>
  </si>
  <si>
    <t>Cost Improvement Ref.to Last PO 3000019295</t>
  </si>
  <si>
    <t xml:space="preserve">E-366,Ref Last PO  -3000019295 </t>
  </si>
  <si>
    <t>28 Lacs</t>
  </si>
  <si>
    <t>E-365</t>
  </si>
  <si>
    <t>16.10 Lacs</t>
  </si>
  <si>
    <t xml:space="preserve"> Plate type HEX,MOC-SMO254/0.8 thk.</t>
  </si>
  <si>
    <t>Empty Weight-KGS.</t>
  </si>
  <si>
    <t>Geecy Engineering Pvt Ltd</t>
  </si>
  <si>
    <t>Industrial Inspection Bureau</t>
  </si>
  <si>
    <t>GEA Ecoflex India Pvt. Ltd</t>
  </si>
  <si>
    <t>Kinam Engineering</t>
  </si>
  <si>
    <t>E312 &amp; E359 HEX</t>
  </si>
  <si>
    <t>E-12 U -Tube Bundle</t>
  </si>
  <si>
    <t>TPI Inspection Charges for HEX Kinam &amp; Geecy</t>
  </si>
  <si>
    <t>E-365 Plate Type heat-Exchanger</t>
  </si>
  <si>
    <t>410/KG</t>
  </si>
  <si>
    <t>478/KG</t>
  </si>
  <si>
    <t>2 Lacs ,quoted by TUV</t>
  </si>
  <si>
    <t>3000025593 dated 10.11.15</t>
  </si>
  <si>
    <t>3000025836 Dated 23.11.15</t>
  </si>
  <si>
    <t>3200023528 dated 30.12.15</t>
  </si>
  <si>
    <t>3000026953 dated 30.12.15</t>
  </si>
  <si>
    <t>Negotiated price for HEX RS.410/KG ,by using Material  cost Estimation Sheet</t>
  </si>
  <si>
    <t>Negotiated price for HEX is RS.478/KG by using Material  cost Estimation as a the baseline &amp; by creating competition with new vendor M/S Heat cool fin Industries</t>
  </si>
  <si>
    <t>Negotiated Rate Rs.508.69 /KG ref. to last PO rate 636.36/KG acheived Rs.394565, Cost Improvement Ref.to Last PO 3000019295</t>
  </si>
  <si>
    <t>QCS,Cost Estimation sheet ,quotations Back-up data attached along with PO in SAP</t>
  </si>
  <si>
    <t>IRClass systems &amp; solutions Pvt.Ltd</t>
  </si>
  <si>
    <t>TPI Inspection Charges for E-365 Plate Type HEX</t>
  </si>
  <si>
    <t>3200024424 dated 28.01.2016</t>
  </si>
  <si>
    <t>480/KG Last PO rate</t>
  </si>
  <si>
    <t>595/KG,Last PO rate</t>
  </si>
  <si>
    <t>636.36/KG, Last PO rate</t>
  </si>
  <si>
    <t>By creating competition between TPI TUV/IIB &amp; IRS almost Rs.35000  Cost saving achieved by placing PO to new vendor M/S IRClass Systems &amp; solutions P Ltd. After technical approval from User</t>
  </si>
  <si>
    <t>Mascot valves P Ltd</t>
  </si>
  <si>
    <t>3000026930 dated 30.12.15</t>
  </si>
  <si>
    <t>Continental Beltings Pvt Ltd</t>
  </si>
  <si>
    <t>Numatik Engg. Pvt Ltd</t>
  </si>
  <si>
    <t>Aarkay Sons</t>
  </si>
  <si>
    <t>Dyanymic Rubbers Pvt Ltd</t>
  </si>
  <si>
    <t>3000025173 dated 30.12.15</t>
  </si>
  <si>
    <t>Globe Control valves,Baddi</t>
  </si>
  <si>
    <t>Conveyor Belt 650MM WIDE BELTX 40 MTR</t>
  </si>
  <si>
    <t>3000027160 dated 08.01.2016</t>
  </si>
  <si>
    <t>1090/meter</t>
  </si>
  <si>
    <t xml:space="preserve">Size : 25870 X 500 X 3 mm Endless Conveyar belt
MOC : PVC-food grade ( TC required)
Colour : white
</t>
  </si>
  <si>
    <t>Rs 23358/-Cost improvement achieved by developing New Vendor M/S Dynamic Rubbers Pvt.Ltd against Old vendor Paradise Rubbers P Ltd</t>
  </si>
  <si>
    <t>Rs 8400/-Cost improvement achieved by developing New Vendor M/S Continental belting P Ltd against Old Vendor Dhanwantari Engg.Pvt Ltd</t>
  </si>
  <si>
    <t>Fuel Additives (Fire side chemical)</t>
  </si>
  <si>
    <t>500 KG</t>
  </si>
  <si>
    <t>3000027171 Dated 08.01.16</t>
  </si>
  <si>
    <t>Rs 97500/-Cost improvement achieved by developing New Vendor M/S Numatik Engineers Pvt.Ltd against Old vendor Unichem Technologies</t>
  </si>
  <si>
    <t>BPCL Hydrol Oil &amp; Castrol Break Oil</t>
  </si>
  <si>
    <t>3000027626 Dated 27.01.2016</t>
  </si>
  <si>
    <t>Rs 87000/-Cost improvement achieved by developing New Vendor M/S Aarkay Sons against Old vendor M/S Ashish B.Baldota</t>
  </si>
  <si>
    <t>Rs.31826 saved by diverting Critical delivery GCV from M/S Tecnik valves to M/S Mascot valves Pvt Ltd &amp; Target  Mareial delivery achieved on 25.01.2016</t>
  </si>
  <si>
    <t>By creating competition between TPI TUV/IIB &amp; IRS almost Rs.90000  Cost saving achieved by placing PO to alternative M/S IIB Mr.Pednekar</t>
  </si>
  <si>
    <t>Against</t>
  </si>
  <si>
    <t>Total Cost Savings In Lacs</t>
  </si>
  <si>
    <t>Total Ordering Net Value in Lacs</t>
  </si>
  <si>
    <t>Makharia Machnaries P Ltd</t>
  </si>
  <si>
    <t>Crompton Geaves/Radicon Make GBX spares</t>
  </si>
  <si>
    <t>3000028197 Dated 15.02.2016</t>
  </si>
  <si>
    <t>Rs 26446/-Cost improvement achieved by developing Current Vendor M/S Makharia.at payment term-30 days for Radicon GBX spares against Union Engineering Co, Payment-100% against PI.</t>
  </si>
  <si>
    <t>Neo-Impex Stainless P Ltd</t>
  </si>
  <si>
    <t>Flanges &amp; Forge pipe fittings</t>
  </si>
  <si>
    <t>3000028640 Dated 01.03.2016</t>
  </si>
  <si>
    <t>Rs 36265/-Cost improvement achieved by developing New Vendor M/S Neo-Impex Stainless P ltd at payment term-30 days for flanges/fittings against Paras Engineering Works &amp; Nippen Tubes</t>
  </si>
  <si>
    <t>Delta Engineers</t>
  </si>
  <si>
    <t>3000028647 Dated 01.03.2016</t>
  </si>
  <si>
    <t>Rs 25281/-Cost improvement achieved by developing New Vendor M/S Delta Engineers at payment term-30 days for Valves/Strainers against Premier Valves/Mewada engg/Scientific devices</t>
  </si>
  <si>
    <t>Manual CS/SS Valves &amp; Strainers ,Sight glass</t>
  </si>
  <si>
    <t>Cost Savings against Target 2%</t>
  </si>
  <si>
    <t xml:space="preserve"> </t>
  </si>
  <si>
    <t>Sanjay Bonny Forge Pvt Ltd</t>
  </si>
  <si>
    <t>Paras Engineering Works</t>
  </si>
  <si>
    <t>Neo-Impex Pvt Ltd</t>
  </si>
  <si>
    <t>REF: NT/VVFL/2016/7250 dtd. 20-02-2016</t>
  </si>
  <si>
    <t xml:space="preserve"> Our Ref No.PEW/ VVF/671/15-16                                                                                      
  , dated 20.02.2016</t>
  </si>
  <si>
    <t xml:space="preserve">NI/2015‐16/Q‐401 dated 19.02.2015                                                                                   
</t>
  </si>
  <si>
    <t>E-mail Offer , dtd. 22.02.2016</t>
  </si>
  <si>
    <t>Ram Bodke -91 9870003287</t>
  </si>
  <si>
    <t xml:space="preserve">Anil Dhanania -9819723812 </t>
  </si>
  <si>
    <t>Bhavin-022 23898189</t>
  </si>
  <si>
    <t>Mr. Dixit Sanghvi on Cell: +91-87585 88188</t>
  </si>
  <si>
    <t>RED ELBOW A105 90D 1"SWX1/2"BSPT THREDED,ELBOW REDUCEING
90 D  SW  30000#
1" X 1/2" BSPT INTERNAL THREADED</t>
  </si>
  <si>
    <t>1100021291</t>
  </si>
  <si>
    <t>FLANGE CS SORF 6" 150#,FLANGE, SLIP ON, CARBON STEEL PLATE , CLASS 150 , RAISED FACE, SERRATED FINISH
IS 2062 ANSI B16.5</t>
  </si>
  <si>
    <t>FLANGE CS SORF 4" 150#,FLANGE, SLIP ON, CARBON STEEL PLATE , CLASS 150 , RAISED FACE, SERRATED FINISH
IS 2062 ANSI B16.5</t>
  </si>
  <si>
    <t>FLANGE CS SORF 2" 150#,FLANGE, SLIP ON, CARBON STEEL PLATE , CLASS 150 , RAISED FACE, SERRATED FINISH
IS 2062 ANSI B16.5</t>
  </si>
  <si>
    <t>ELBOW CS 90D BE 6" ERW SCH40,90 DEG ELBOW , CARBON STEEL WELDED , SCH 40 ,LONG RADIUS R = 1.5D, BEVELLED ENDS
ASTM A234 GR WPB‐W ANSI B16.9</t>
  </si>
  <si>
    <t>ELBOW MS 2" R=1.5D ERW CLASS-C, 90 DEG ELBOW , CARBON STEEL WELDED , SCH 40 ,LONG RADIUS R = 1.5D, BEVELLED ENDS
ASTM A234 GR WPB‐W
ANSI B16.9</t>
  </si>
  <si>
    <t>Delivery</t>
  </si>
  <si>
    <t>Free Delivery</t>
  </si>
  <si>
    <t>30 days</t>
  </si>
  <si>
    <t>100% against Delivery within 30 days,before dispatch clearence IR,QA documents from TUV/VVF</t>
  </si>
  <si>
    <t>PR DESCRIPTION</t>
  </si>
  <si>
    <t>ITEM LINE</t>
  </si>
  <si>
    <t>QTY</t>
  </si>
  <si>
    <t>BAKELITE SHEET THICK-12.5MMSIZE - 2MTR X 2MTR
THK - 12.5 MM</t>
  </si>
  <si>
    <t>sq.m</t>
  </si>
  <si>
    <t>DIAPHRAGM RUBBER FOR VALVE SIZE 4"SIZE - 100MM
SHAPE - ROUND
HOLE PCD - 194MM
NO OF HOLES - 8 (EQUALY SPACED)
THICKNESS - 10MM</t>
  </si>
  <si>
    <t>OIL CUP MS 1/4" BSP WITH ADAPTOR</t>
  </si>
  <si>
    <t>BELT DRESSING SPRAY</t>
  </si>
  <si>
    <t>Last Purchase PO</t>
  </si>
  <si>
    <t>DELTA ENGINEERS</t>
  </si>
  <si>
    <t>LAST PO PRICE</t>
  </si>
  <si>
    <t>E-mail Offer , dtd. 26.02.2016</t>
  </si>
  <si>
    <t>DATED</t>
  </si>
  <si>
    <t xml:space="preserve">V.N.SHAH -098250 31425  </t>
  </si>
  <si>
    <t>VALVE GATE CI FE 6",FLANGE END 150 CLASS ( CS GATE VALVE )</t>
  </si>
  <si>
    <t xml:space="preserve">VALVE GATE CS FE 2" 150#, AST CARBON STEEL, GATE VALVE, FLANGED  TO ASME B16.5, CLASS 150, RF, SERRATED FINISH, BODY A216WCB TRIM 13% CR, ASME B16.10
</t>
  </si>
  <si>
    <t>19.09.14</t>
  </si>
  <si>
    <t xml:space="preserve">VALVE BALL CS FE 1" 150#,REDUCED PORT BALL VALVE, TWO PIECE DESIGN, FLANGED TO ASME B16.5, RF , SERRATED FINISH, CLASS 150, LEVER OPERATED
BODY A216WCB TRIM ‐ SS 304 ASME B16.10
</t>
  </si>
  <si>
    <t>17.08.15</t>
  </si>
  <si>
    <t>1100021476</t>
  </si>
  <si>
    <t>NRV LIFT CHECK SS304 FE 1" 150#,LIFT TYPE CHECK VALVE , RENEWABLE SEAT , FLANGED TO ASME B16.5 , RAISED FACE , SERRATED FINISH
BODY A351 CF8, OTHER SS 304
MFG STD.</t>
  </si>
  <si>
    <t>1100021370</t>
  </si>
  <si>
    <t>NRV LIFT CHECK SS304 FE 1.1/2" 150# ,LIFT TYPE CHECK VALVE , RENEWABLE SEAT , FLANGED TO ASME B16.5 , RAISED FACE , SERRATED FINISH, CLASS 150.
BODY A351 CF8, OTHER SS 304 MFG STD.</t>
  </si>
  <si>
    <t>VALVE BALL CS FE 150#,1/2 INCH BALL VALVE
REDUCED PORT BALL VALVE, TWO PIECE DESIGN, FLANGED TO ASME B16.5, RF , SERRATED FINISH, CLASS 150, LEVER OPERATED.
BODY A216WCB TRIM ‐ SS 304 ASME B16.10</t>
  </si>
  <si>
    <t>29.06.15</t>
  </si>
  <si>
    <t>VALVE BALL SS A351 CF8 1/2" 150#,FULL BORE BALL VALVE, TWO PIECE CONSTRUCTION, FLANGED TO ASME B16.5, CLASS 150, RAISED FACE, SERR.FINISH, LEVER OPERATED.
BODY A351 GRCF8 OTHER SS 304 ASME B16.10</t>
  </si>
  <si>
    <t>09.10.14</t>
  </si>
  <si>
    <t>VALVE BALL SS A351 CF8 FE 1" 150#,FULL BORE BALL VALVE, TWO PIECE CONSTRUCTION, FLANGED TO ASME B16.5, CLASS 150, RAISED FACE, SERR.FINISH, LEVER OPERATED.
BODY A351 GRCF8 OTHER SS 304 ASME B16.10</t>
  </si>
  <si>
    <t>VALVE BALL SS A351 GR.CF8 1.1/2" 150#,FULL BORE BALL VALVE, TWO PIECE CONSTRUCTION, FLANGED TO ASME B16.5, CLASS 150, RAISED FACE, SERR.FINISH, LEVER OPERATED.
BODY A351 GRCF8 OTHER SS 304 ASME B16.10</t>
  </si>
  <si>
    <t>NRV SW CS 1" 800#,FORGED CARBON STEEL , LIFT TYPE CHECK VALVE , CLASS 800, SW ENDS TO ASME B16.11.
BODY ‐ A105 OTHER 304 MFG STD.</t>
  </si>
  <si>
    <t>STRAINER Y TYPE SS304 2" 150# ,  Y TYPE STRAINER, CLASS 150, FLGD ENDS TO B16.5, RF
ASTM A 403 WPW 304 MFG STD.</t>
  </si>
  <si>
    <t>16.4.15</t>
  </si>
  <si>
    <t xml:space="preserve">STRAINER Y-TYPE SS304 FE 1.1/2", Y TYPE STRAINER, CLASS 150, FLGD ENDS TO B16.5, RF
ASTM A 403 WPW 304 MFG STD.
</t>
  </si>
  <si>
    <t xml:space="preserve">For All fabticated equipments </t>
  </si>
  <si>
    <t>Cost Sheet (Cost evaluation sheets to conclude right price) along with Last PO rate reference</t>
  </si>
  <si>
    <t>Heat Exchangers-E359,E312</t>
  </si>
  <si>
    <t>U Tube Heat exchanger- E12</t>
  </si>
  <si>
    <t>Plate type Heat exchanger- E365</t>
  </si>
  <si>
    <t>Steam Seperators</t>
  </si>
  <si>
    <t>Insullation work cost workout  template(Supply &amp; Labour)</t>
  </si>
  <si>
    <t xml:space="preserve">TF Coal project ISBL/OSBL Piping ,Fabrication &amp; erection work </t>
  </si>
  <si>
    <t xml:space="preserve">Roofing Sheets cost analysis </t>
  </si>
  <si>
    <t>Sr.No</t>
  </si>
  <si>
    <t>CS &amp; SS pipes per KG rate analysis</t>
  </si>
  <si>
    <t>CS/SS &amp; Alloy steel Studs /Nuts &amp; Bolts per KG rate analysis</t>
  </si>
  <si>
    <t>EBIPL Mech. Seal last PO rate analysis ,negotiated Rate strategy Minimum of 2013 rate X 5% increase,2014 Rates X10% decrease,Jan-2015 to July 2015 X 10% decrease,Onwards August-2015 appx. additional 10% discounts comapared to Last year 2014 &amp; upto July-2015 Rates</t>
  </si>
  <si>
    <t>For All Engineering bought outs Like Valves,Flanges,forging &amp; pipe fittings,Gaskets,Instrumentation Fittings Last PO rate analysis &amp; QCS attached along with PO.</t>
  </si>
  <si>
    <t>Electrial &amp; Instrumentation HT &amp; LT Power Cables-Discount working on STD price List</t>
  </si>
  <si>
    <t>KEC Int.Ltd( RPG Cables)</t>
  </si>
  <si>
    <t>Polycab Cables</t>
  </si>
  <si>
    <t>R S Electricals ( RPG Cables)</t>
  </si>
  <si>
    <t>Item Description</t>
  </si>
  <si>
    <t>FRLS Loading Factor</t>
  </si>
  <si>
    <t>Listed price Rate/Mtr.</t>
  </si>
  <si>
    <t>Discount Offered</t>
  </si>
  <si>
    <t>Negotiated Rate</t>
  </si>
  <si>
    <t>LT Cable 3.5CX300Sq.mm XLPE armoured FRLS,1.1kv grade cable with aluminium ,Wooden drum
conductor, XLPE insulated, flat steel strip armoured 
and FRLS PVC sheathed to IS: 7098/I.</t>
  </si>
  <si>
    <t>Mtr</t>
  </si>
  <si>
    <t xml:space="preserve">LT Cable 3.5CX300Sq.mm XLPE armoured FRLS,1.1kv grade cable with aluminium ,MS Drum
conductor, XLPE insulated, flat steel strip armoured 
and FRLS PVC sheathed to IS: 7098/I.
</t>
  </si>
  <si>
    <t>7.5%+ polycab added Rs.40/M for MS Drum</t>
  </si>
  <si>
    <t>LT Cable 3CX2.5Sq.mm XLPE Cu armoured FRLS</t>
  </si>
  <si>
    <t>7.5% -Polycab &amp; 10% for RPG</t>
  </si>
  <si>
    <t>HT 22KV Cable 3CX300Sq.mm XLPE armoured FRLS Earth-Cables required in MS drum only</t>
  </si>
  <si>
    <t>FRLS PVC Outer Sheath-5%</t>
  </si>
  <si>
    <t>RPG Cables 76.76% discount working</t>
  </si>
  <si>
    <t>KHD VALVES AUTOMATION PVT LTD</t>
  </si>
  <si>
    <t xml:space="preserve">E-mail  Offer Dated 20.06.2016
</t>
  </si>
  <si>
    <t>KHD/HEMANT/Q-3685/16-17 dated 17.06.2016</t>
  </si>
  <si>
    <t>V N Shah-098250 31425</t>
  </si>
  <si>
    <t xml:space="preserve">Hemant Parekh (MD) Cell: 98211 16437 </t>
  </si>
  <si>
    <t>VALVE GATE CS FE 4" 150#, "E TABLE " FLANGE</t>
  </si>
  <si>
    <t>VALVE BALL CS FE 3", "E TABLE " FLANGE, 2 Piece Design</t>
  </si>
  <si>
    <t>1100023756</t>
  </si>
  <si>
    <t>STRAINER Y TYPE SS304 2" X 150# FE</t>
  </si>
  <si>
    <t xml:space="preserve">NRV SWING CHECK SS316L 1/2"X600# NPT(F)
( lift up type )
</t>
  </si>
  <si>
    <t>1100023625</t>
  </si>
  <si>
    <t>BALL VALVE SS316L 1/2"X600# NPT(F)</t>
  </si>
  <si>
    <t>1100023786</t>
  </si>
  <si>
    <t>4 Weeks</t>
  </si>
  <si>
    <t>FOR Taloja</t>
  </si>
  <si>
    <t>100% against delivery prior to dispatch clearence IR,QA documents from VVF</t>
  </si>
  <si>
    <t>25% advance &amp; Balance against Proforma Invoice.</t>
  </si>
  <si>
    <t>100% against delivery prior to dispatch clearenceIR,QA documents from TUV/VVF .</t>
  </si>
  <si>
    <t>Wellworth Engineering Co. Pvt. Ltd</t>
  </si>
  <si>
    <t xml:space="preserve">E-mail  Offer Dated 14.04.2016
</t>
  </si>
  <si>
    <t>Qtn.No. : 2016-17/000037 dated 18.04.2016</t>
  </si>
  <si>
    <t xml:space="preserve">Mr.Niranjan- 022-67822005   </t>
  </si>
  <si>
    <t>VALVE GATE CS FE 4" 150#</t>
  </si>
  <si>
    <t>VALVE GATE CS FE 3" 150#</t>
  </si>
  <si>
    <t>VALVE SWING CHECK CS FE 3" 150#</t>
  </si>
  <si>
    <t>VALVE GATE SS316H SW X SCRD 3/4"X800#, one end socket welded &amp; other ended threaded(F) NPT</t>
  </si>
  <si>
    <t>VALVE GATE SS316H SW X SCRD 1/2"X800# , one end socket welded &amp; other ended threaded(F) NPT</t>
  </si>
  <si>
    <t>VALVE GATE SS316H SW 3/4"X800#</t>
  </si>
  <si>
    <t>VALVE CHECK SS316H SW 3/4"X800#</t>
  </si>
  <si>
    <t>8 Weeks</t>
  </si>
  <si>
    <t>CIP ref LPO rate</t>
  </si>
  <si>
    <t>3000029982 Dated 19.04.2016</t>
  </si>
  <si>
    <t>3000031826 Dated 20.06.2016</t>
  </si>
  <si>
    <t>Rs 24900/-Cost improvement achieved by developing New Vendor M/S Delta Engineers at payment term-30 days for Valves/Strainers against Premier Valves/Mewada engg/Scientific devices</t>
  </si>
  <si>
    <t>Rs 7000/-Cost improvement achieved by developing New Vendor M/S Delta Engineers at payment term-30 days for Valves/Strainers against Premier Valves/Mewada engg/Scientific devices</t>
  </si>
  <si>
    <t>E-16A -Tube Bundle Repairing</t>
  </si>
  <si>
    <t>M/S.Heat Cool Fin Industries</t>
  </si>
  <si>
    <t>Cost Improvement Ref to Last PO rate</t>
  </si>
  <si>
    <t>VVF Estimated Cost</t>
  </si>
  <si>
    <t>RADIANT HEAT EXCHANGER PVT LTD</t>
  </si>
  <si>
    <t>L1-Vapi Heat Cool Industries</t>
  </si>
  <si>
    <t>L2-Kinam Engineering Industries</t>
  </si>
  <si>
    <t>Renu Engineering Industries</t>
  </si>
  <si>
    <t>Ref: QTN/RH-7-1599 TO 1600/GS2 Dated 12.01.2016</t>
  </si>
  <si>
    <t>Ref. Email Offer -  Dated 21.05.2016</t>
  </si>
  <si>
    <t>Ref. Our Ref. No. E-360136/SSM/VVF/R0  Dated 25.05.2016</t>
  </si>
  <si>
    <t>Ref. Email Offer - REI-FT-MKT-02 Dated 20.05.2016</t>
  </si>
  <si>
    <t>Kinam Last PO Per KG Rate</t>
  </si>
  <si>
    <t>L1 Bidder RATE/KG</t>
  </si>
  <si>
    <t>MR.Mithila Mane - 020 40718000</t>
  </si>
  <si>
    <t>Mr.Venugopalan : 9824130918</t>
  </si>
  <si>
    <t>Mr.Mehul - 09820335125</t>
  </si>
  <si>
    <t>Mr.Deval Kansara-9825449911</t>
  </si>
  <si>
    <t>Tube Bundle Assembly for E-16A (Drg no - 6362A A)</t>
  </si>
  <si>
    <t>1100022681</t>
  </si>
  <si>
    <t>Excise Duty with surchargeetc 12.5%</t>
  </si>
  <si>
    <t>Service Tax  OR Work Contract Tax  14.5 %</t>
  </si>
  <si>
    <t>10 - 12 Weeks</t>
  </si>
  <si>
    <t>6-8 Weeks</t>
  </si>
  <si>
    <t>30% Advance &amp; 70% against after Inspection befour dispatch against PI after submission</t>
  </si>
  <si>
    <t xml:space="preserve">90% against delivery @Taloja plant, including Taxes &amp; duties along with submission  of IRN &amp; Inspection/Dispatch Clearance from TPI/VVF
&amp; 10% of PBG Submission  within 30 days having PBG value of 10% of Basic Order Value With PBG period of 12 months from the date of commissioning OR 18 months from the date of dispatch whichever is earlier 
</t>
  </si>
  <si>
    <t>90% against delivery prior to dispatch IRN submission &amp; VVF dispatch clearence &amp; 10% PBG after 12 months from the date of commissioning</t>
  </si>
  <si>
    <t xml:space="preserve">25% of the value of order is to be paid as advance against ABG, 65% against proforma invoice being submitted as soon as the material is ready and inspected by the agency and balance 10% on submission of PBG having validity as per warranty period, immediately after dispatch.
</t>
  </si>
  <si>
    <t>30% advance payment &amp; 20% against raw material identification and 50 % against prior to dispatch.</t>
  </si>
  <si>
    <t>20% Advance along with order, 20% against RMI, balance 60% along with taxes and duties with 10% PBG against proforma invoice prior to dispatch.</t>
  </si>
  <si>
    <t>90% against Delivery &amp; 10% PBG after 12 months from the date of commissioning</t>
  </si>
  <si>
    <t>TPI/VVF</t>
  </si>
  <si>
    <t>1 Week</t>
  </si>
  <si>
    <t>Our equipment is subject to warranty for a period of 12 months from the date of installation or 18 months from the date of supply whichever is earlier for quality of material consumed in the manufacture and for workmanship. In the event of any defect if noticed during the warranty period we undertake to repair/replace the same to your satisfaction provided the defect is proved beyond our doubt.</t>
  </si>
  <si>
    <t xml:space="preserve"> agreed for 0.5% penalty of order value per week subject to maximum 5%
starting from 9th week of delivery schedule. 
</t>
  </si>
  <si>
    <t>Tube bundle of 01E16(PRF-1100022681 DTD: 22/04/2016)</t>
  </si>
  <si>
    <t>MOC</t>
  </si>
  <si>
    <t>Weight-KG</t>
  </si>
  <si>
    <t>Rate/KG</t>
  </si>
  <si>
    <t>Material Cost</t>
  </si>
  <si>
    <t>Tube Sheet-892 mm OD X 29 mm Thk.X2 Nos</t>
  </si>
  <si>
    <t>SA516 Gr70</t>
  </si>
  <si>
    <t>Tubes-19.05 OD X 2.11mm Thk X 6000 mm Lg-535 Nos. ,Sainest Tubes Pvt. Ltd</t>
  </si>
  <si>
    <t>SA179</t>
  </si>
  <si>
    <t>Baffles - 746 mm OD X 8mm thk X 14 Nos.</t>
  </si>
  <si>
    <t>Tie rods with two nut</t>
  </si>
  <si>
    <t>IS2062  GR A/ IS1367 CL4.0</t>
  </si>
  <si>
    <t>Appx cost Tie rods,spacers,gasket,hardware,Fixtures</t>
  </si>
  <si>
    <t>Appx Total Material Cost</t>
  </si>
  <si>
    <t>Conversion cost Including m/cing,Welding,i.e labour+transportation(Extra)</t>
  </si>
  <si>
    <t>Appx.35 % conversion cost including tube to tubesheet welding by Orbital TIG Weld</t>
  </si>
  <si>
    <t>Conversion Rate/KG</t>
  </si>
  <si>
    <t>Payment terms- 90% against delivery &amp; 10% against PBG</t>
  </si>
  <si>
    <t>Taxes- ED + Local VAT</t>
  </si>
  <si>
    <t>Delivery- 4 weeks &amp; LD-1% per week to 5% max. after 6th Week</t>
  </si>
  <si>
    <t>TPI-TUV for material identification,interstage &amp; Final hydro before dispatch</t>
  </si>
  <si>
    <t>3000031914 Dated 23.06.16</t>
  </si>
  <si>
    <t>Purch.Doc.</t>
  </si>
  <si>
    <t>Doc. Date</t>
  </si>
  <si>
    <t>Net price</t>
  </si>
  <si>
    <t>SKU</t>
  </si>
  <si>
    <t>Vendor/supplying plant</t>
  </si>
  <si>
    <t>To be del.</t>
  </si>
  <si>
    <t>3000031099</t>
  </si>
  <si>
    <t>1800159</t>
  </si>
  <si>
    <t>MERCURY , 99% MIN</t>
  </si>
  <si>
    <t>200948     NEHA ENTERPRISES</t>
  </si>
  <si>
    <t>3000023526</t>
  </si>
  <si>
    <t>200874     MATANGI TRADING CORPORATION</t>
  </si>
  <si>
    <t>3000017511</t>
  </si>
  <si>
    <t>3000013393</t>
  </si>
  <si>
    <t>114</t>
  </si>
  <si>
    <t>3000014157</t>
  </si>
  <si>
    <t>201362     VAJRACHEM</t>
  </si>
  <si>
    <t>Neha Enterprises</t>
  </si>
  <si>
    <t>3000031099 dated 30.05.2015</t>
  </si>
  <si>
    <t>Rs.7500/- Cost Saving achieved by negotiating yr.2014 last PO rate Rs.8.5 /Gram compared to Yr.2015 LPO rate Rs.16/Gram of M/S Matangi trading Corporation</t>
  </si>
  <si>
    <t>FY- 2016-2017</t>
  </si>
  <si>
    <t>1000 gm</t>
  </si>
  <si>
    <t>Nandini Steel</t>
  </si>
  <si>
    <t>Yograj Steel Corporation</t>
  </si>
  <si>
    <t xml:space="preserve">RELIANCE TRADING COMPANY                                                          </t>
  </si>
  <si>
    <t>MK Steel Corporation</t>
  </si>
  <si>
    <t>Ref.No.NS/16-17/QT-817 dtd.16.06.16</t>
  </si>
  <si>
    <t>Quotation , dtd. 16.06.16</t>
  </si>
  <si>
    <t xml:space="preserve">Nikhil K. Doshi - 22-43404600 </t>
  </si>
  <si>
    <t>Yograj -MOB : 9821111807</t>
  </si>
  <si>
    <t xml:space="preserve">SAMIR
9867353156
</t>
  </si>
  <si>
    <t xml:space="preserve">Mr.Agrawal-09820060720 </t>
  </si>
  <si>
    <t>Weight Per Pc</t>
  </si>
  <si>
    <t>Weight x nos.</t>
  </si>
  <si>
    <t>Rate Per Kg</t>
  </si>
  <si>
    <t>All materials are conforming to IS 2062 E250 Class B of Sail or jindal MAKE with Test Certificate and Manufacturing certificate</t>
  </si>
  <si>
    <t>CHANEL M.S. ISMC 150</t>
  </si>
  <si>
    <t>CHANEL M.S. ISMC 100</t>
  </si>
  <si>
    <t>3-4 days</t>
  </si>
  <si>
    <t>3-4  days</t>
  </si>
  <si>
    <t>FOR,Taloja</t>
  </si>
  <si>
    <t>Extra-2000</t>
  </si>
  <si>
    <t>30 dyas</t>
  </si>
  <si>
    <t xml:space="preserve">100% against Delivery within 30 days,prior to dispatch clearence against QA documents </t>
  </si>
  <si>
    <t>1 % per Week to 5% max onper week on undelivered portion of PO.</t>
  </si>
  <si>
    <t>M/S.Nandini Steels</t>
  </si>
  <si>
    <t>MS Structural steel</t>
  </si>
  <si>
    <t>3 TON</t>
  </si>
  <si>
    <t>1200/TON</t>
  </si>
  <si>
    <t>3000031765 Dated 20.06.16</t>
  </si>
  <si>
    <t>Rs 1200/TON-Cost improvement achieved compared to LPO rate of M/S.M.K Steel Corporation ,by developing New Vendor M/S Nandini Steel</t>
  </si>
  <si>
    <t>LPO</t>
  </si>
  <si>
    <t>LPO Date</t>
  </si>
  <si>
    <t>LPO Rate</t>
  </si>
  <si>
    <t>L.T.UPGRADATION KIT TO 244LD LEVEL STAR</t>
  </si>
  <si>
    <t>19.11.15</t>
  </si>
  <si>
    <t>ROD TYPE SS904L SUSPEN. CHAIN,LEN=200 MM</t>
  </si>
  <si>
    <t>13.06.13</t>
  </si>
  <si>
    <t>ROD TYPE SS904L SUSPEN. CHAIN,LEN=350 MM</t>
  </si>
  <si>
    <t>ROD TYPE SS904L SUSPEN. CHAIN,LEN=400 MM</t>
  </si>
  <si>
    <t>Chemtrols India Pvt.Ltd</t>
  </si>
  <si>
    <t>CHEMTROL Displacer LT SPARES =PRF NO:1100023113</t>
  </si>
  <si>
    <t>Maintain Last PO rates of Yr.2013 &amp; 2015</t>
  </si>
  <si>
    <t>3000031347 Dated 07.06.16</t>
  </si>
  <si>
    <t>34.1/KG</t>
  </si>
  <si>
    <t>17% prices increase ref Revised offered rates for LT OEM spares,Negotiated &amp; Maintained Last PO rates of Yr.2013 &amp; 2015</t>
  </si>
  <si>
    <t xml:space="preserve">Transportation cost for sending Tube bundle assembly from Taloja to vapi M/S.Heat cool fin industries
with vvf regular transporter Mr. Devidas (9819272702). it will cost Rs.25000 for Vapi.
Exchanger detail is as below,
Legth-7.5Mtr
Dia-0.9Mtr
Weight-5000Kg
Rs.25000 Cost savings Negotiated Free door delivery at vvf Taloja with new vendor M/S.Heat cool fin industries,Vapi after completion of tube bundle assembly.
</t>
  </si>
  <si>
    <t>savings</t>
  </si>
  <si>
    <t>Estimated Cost</t>
  </si>
  <si>
    <t>L1-RENU ENGINEERING INDUTRIES</t>
  </si>
  <si>
    <t>L2-ADOR WELDING LTD</t>
  </si>
  <si>
    <t>Punja Petrokem Engg.Ltd</t>
  </si>
  <si>
    <t>Ref. Email Offer - 262/2015-2016 Dated 12.01.2016</t>
  </si>
  <si>
    <t>Ref. Email Offer - APPL-15-EN-201 Dated 11.01.2016262/2015-2016 Dated 12.01.2016</t>
  </si>
  <si>
    <t>Ref. Email Offer - PPEL/8c/1186 Dated 03.02.2016</t>
  </si>
  <si>
    <t>Total Weight in KG</t>
  </si>
  <si>
    <t xml:space="preserve">H.R.Kansara - </t>
  </si>
  <si>
    <t>Saurabh Sikdar - 09604003894</t>
  </si>
  <si>
    <t>Mr.Manish Lakegaonkar-9869394326</t>
  </si>
  <si>
    <t>Fabrication of Steam separator for E-365 (Drg no - 926 A)</t>
  </si>
  <si>
    <t>1100021289</t>
  </si>
  <si>
    <t>Fabrication of Steam separator for E-366 (Drg no - 926 B)</t>
  </si>
  <si>
    <t>6-7 Weeks</t>
  </si>
  <si>
    <t>5 Weeks</t>
  </si>
  <si>
    <t>Extra-Rs 15000</t>
  </si>
  <si>
    <t xml:space="preserve">100% against delivery within 15 days, including Taxes &amp; duties along with submission  of IRN &amp; Inspection/Dispatch Clearance from TPI/VVF
</t>
  </si>
  <si>
    <t>M/S.Renu engineering Industries,Bilimora,</t>
  </si>
  <si>
    <t>226.5/KG</t>
  </si>
  <si>
    <t>SS304 Steam Seperator-2 Nos</t>
  </si>
  <si>
    <t>PO-3000030827  dated 23.05.2016</t>
  </si>
  <si>
    <t>Rs.25000/_ savings by developing alternative vendor resource M/S.Renu engineering Industries,Bilimora,Navsari for steam separators- 2nos.</t>
  </si>
  <si>
    <t>Ashish Baldota</t>
  </si>
  <si>
    <t>Panvel Ind.Fasteners</t>
  </si>
  <si>
    <t>Makharia Machinery</t>
  </si>
  <si>
    <t>Enklo 68,32 HPCL Oil</t>
  </si>
  <si>
    <t>Hydrol 320 Oil</t>
  </si>
  <si>
    <t>OIL LUBRICANT MOBIL DTE 846</t>
  </si>
  <si>
    <t>GREASE SHELL ALVANIA RL3</t>
  </si>
  <si>
    <t>L</t>
  </si>
  <si>
    <t>PO-3000032499  dated 14.07.2016</t>
  </si>
  <si>
    <t>PO-3000032495  dated14.07.2016</t>
  </si>
  <si>
    <t>PO-3000032497  dated14.07.2016</t>
  </si>
  <si>
    <t>Tab Type Shims</t>
  </si>
  <si>
    <t>840+1260 L</t>
  </si>
  <si>
    <t>72 KG</t>
  </si>
  <si>
    <t>Last PO Nos.</t>
  </si>
  <si>
    <t>Panvel Industrial Fasteners Pvt.Ltd</t>
  </si>
  <si>
    <t>S R Enterprises</t>
  </si>
  <si>
    <t>Unable to provide Authorised dealer/Distribotor certificate hence offer is Invalid</t>
  </si>
  <si>
    <t>LPO Rates</t>
  </si>
  <si>
    <t>AS-3907 A, dtd. 08/07/2016</t>
  </si>
  <si>
    <t>Ref. to E-mail , dtd. 09.07.16</t>
  </si>
  <si>
    <t>Ref. to E-mail , dtd. 12.07.16</t>
  </si>
  <si>
    <t xml:space="preserve">Chetan Dhulla (9820180074)         </t>
  </si>
  <si>
    <t>Aashish Cell : 07045000123</t>
  </si>
  <si>
    <t>Hemant -8082596611</t>
  </si>
  <si>
    <t>Seawell Oil- Ompratap singh</t>
  </si>
  <si>
    <t>HPCL Make,OIL LUBRICANT ENKLO 68(panvel Fasteners)</t>
  </si>
  <si>
    <t>3000028953 dated 10.03.16</t>
  </si>
  <si>
    <t>72.3</t>
  </si>
  <si>
    <t>1100024239</t>
  </si>
  <si>
    <t>HPCL Make ,OIL HYDRAULIC ENKLO 32 (Panvel ind fasteners)</t>
  </si>
  <si>
    <t>3000030315 dated 02.05.2016</t>
  </si>
  <si>
    <t>85</t>
  </si>
  <si>
    <t>BPCL OIL LUBRICANT HYDROL 320 (Ashish B Baldota)</t>
  </si>
  <si>
    <t>3000011718 dated 21.07.14</t>
  </si>
  <si>
    <t>132.7</t>
  </si>
  <si>
    <t>7 days</t>
  </si>
  <si>
    <t>1  Weeks</t>
  </si>
  <si>
    <t>1-2 weeks</t>
  </si>
  <si>
    <t>1-2  Weeks</t>
  </si>
  <si>
    <t>2-3 weeks</t>
  </si>
  <si>
    <t>2  Weeks</t>
  </si>
  <si>
    <t>15 days</t>
  </si>
  <si>
    <t>STUD WITH 2 NUTS 7/8"X135 MM</t>
  </si>
  <si>
    <t>STUD WITH 2 NUTS  7/8"X155 MM</t>
  </si>
  <si>
    <t>REDUCER CONC CS 14"X12" SMLS SCH 40.</t>
  </si>
  <si>
    <t>3000014189 dated 14.10.14</t>
  </si>
  <si>
    <t>184</t>
  </si>
  <si>
    <t>1100024128</t>
  </si>
  <si>
    <t>Cost Saving Ref</t>
  </si>
  <si>
    <t>to last PO</t>
  </si>
  <si>
    <t>210 L</t>
  </si>
  <si>
    <t>Cost Saving</t>
  </si>
  <si>
    <t>Ref to LPO</t>
  </si>
  <si>
    <t>3000020025 dated 05.05.2016</t>
  </si>
  <si>
    <t>Rs 95500/-Cost improvement achieved compared to LPO rate Rs.165.64 /KG of M/S.Kinam Engineering(LPO-3000020025 dated 05.05.15) ,by developing New Vendor M/S Heat Cool Fin Industries,Negotiated price for E-16A Tube bundle Assly. is RS.131.54/KG by using Mtrl.cost Estimation as a the baseline.</t>
  </si>
  <si>
    <t>Mars Petrochem Pvt.Ltd</t>
  </si>
  <si>
    <t>Ref. to E-mail , dtd. 27.07.16</t>
  </si>
  <si>
    <t>Mr.Manoj : +91 9320588827</t>
  </si>
  <si>
    <t>Mars Petro Chem Pvt Ltd</t>
  </si>
  <si>
    <t>420 L+2200L</t>
  </si>
  <si>
    <t>PO-3000033007&amp;33009 dated27.07.2016</t>
  </si>
  <si>
    <t>Rs.49780 Savings reference to Last PO-3000014189 dated 14.10.14 rate from the same Mobil DTE Oil distributor</t>
  </si>
  <si>
    <t>Rs.3717 Savings reference to Last PO.3000011718 dated 21.07.14ate from the same Hydrol Oil distributor</t>
  </si>
  <si>
    <t xml:space="preserve">Rs.10605 Savings reference to Last 3000028953 dated 10.03.16 rate from M/S Aarkay Sons </t>
  </si>
  <si>
    <t>OUn</t>
  </si>
  <si>
    <t>Crcy</t>
  </si>
  <si>
    <t>Per</t>
  </si>
  <si>
    <t>Tx</t>
  </si>
  <si>
    <t>Type</t>
  </si>
  <si>
    <t>Cat</t>
  </si>
  <si>
    <t>POrg</t>
  </si>
  <si>
    <t>Matl Group</t>
  </si>
  <si>
    <t>POH</t>
  </si>
  <si>
    <t>I</t>
  </si>
  <si>
    <t>TrackingNo</t>
  </si>
  <si>
    <t>SLoc</t>
  </si>
  <si>
    <t>Agmt</t>
  </si>
  <si>
    <t>Coll. No.</t>
  </si>
  <si>
    <t>Ctl</t>
  </si>
  <si>
    <t>Info Record</t>
  </si>
  <si>
    <t>Number</t>
  </si>
  <si>
    <t>Grp</t>
  </si>
  <si>
    <t>Strat</t>
  </si>
  <si>
    <t>Rel.stat</t>
  </si>
  <si>
    <t>IStLoc</t>
  </si>
  <si>
    <t>Name of Vendor</t>
  </si>
  <si>
    <t>OPU</t>
  </si>
  <si>
    <t>Tax Jur.</t>
  </si>
  <si>
    <t>Stk Seg.</t>
  </si>
  <si>
    <t>Req. Seg.</t>
  </si>
  <si>
    <t>ConfItemNo</t>
  </si>
  <si>
    <t>Sort No.</t>
  </si>
  <si>
    <t>Ext.H Cat.</t>
  </si>
  <si>
    <t>RU</t>
  </si>
  <si>
    <t>ReqmtPrio.</t>
  </si>
  <si>
    <t>Smart No.</t>
  </si>
  <si>
    <t>Targ. Val.</t>
  </si>
  <si>
    <t>TotOpenVal</t>
  </si>
  <si>
    <t>Open value</t>
  </si>
  <si>
    <t>Rel. value</t>
  </si>
  <si>
    <t>OpenTgtQty</t>
  </si>
  <si>
    <t>Rel. Qty</t>
  </si>
  <si>
    <t>VP Start</t>
  </si>
  <si>
    <t>VPer.End</t>
  </si>
  <si>
    <t>To be inv.</t>
  </si>
  <si>
    <t>QuotDdln</t>
  </si>
  <si>
    <t>Net Value</t>
  </si>
  <si>
    <t>Notified</t>
  </si>
  <si>
    <t>3000033368</t>
  </si>
  <si>
    <t>1322976</t>
  </si>
  <si>
    <t>DIAPHRAGM RUBBER FOR VALVE SIZE 2.1/2"</t>
  </si>
  <si>
    <t>202813     WELLWORTH ENGINEERING COMPANY</t>
  </si>
  <si>
    <t>DC</t>
  </si>
  <si>
    <t>ZDOM</t>
  </si>
  <si>
    <t>M7904</t>
  </si>
  <si>
    <t>0</t>
  </si>
  <si>
    <t>00000</t>
  </si>
  <si>
    <t>5300023626</t>
  </si>
  <si>
    <t>0000000000</t>
  </si>
  <si>
    <t>01</t>
  </si>
  <si>
    <t>P4</t>
  </si>
  <si>
    <t>202813     WELLWORTH ENGINEERING CO</t>
  </si>
  <si>
    <t>00</t>
  </si>
  <si>
    <t>000</t>
  </si>
  <si>
    <t>3000023950</t>
  </si>
  <si>
    <t>2D</t>
  </si>
  <si>
    <t>@0N\QPO history/release documentation@</t>
  </si>
  <si>
    <t>XX</t>
  </si>
  <si>
    <t>1312381</t>
  </si>
  <si>
    <t>DIAPHRAGM RUBBER FOR VALVE SIZE 3/4"</t>
  </si>
  <si>
    <t>5300029967</t>
  </si>
  <si>
    <t>1312380</t>
  </si>
  <si>
    <t>DIAPHRAGM RUBBER FOR VALVE SIZE 3"</t>
  </si>
  <si>
    <t>5300023623</t>
  </si>
  <si>
    <t>3000009523</t>
  </si>
  <si>
    <t>200466     C.B.TRADING CORPORATION</t>
  </si>
  <si>
    <t>V9</t>
  </si>
  <si>
    <t>5300011350</t>
  </si>
  <si>
    <t>DR</t>
  </si>
  <si>
    <t>XXX</t>
  </si>
  <si>
    <t>1312379</t>
  </si>
  <si>
    <t>DIAPHRAGM RUBBER FOR VALVE SIZE 2"</t>
  </si>
  <si>
    <t>5300023624</t>
  </si>
  <si>
    <t>5300011349</t>
  </si>
  <si>
    <t>1312377</t>
  </si>
  <si>
    <t>DIAPHRAGM RUBBER FOR VALVE SIZE 1.1/2"</t>
  </si>
  <si>
    <t>5300029966</t>
  </si>
  <si>
    <t>5300011348</t>
  </si>
  <si>
    <t>1312376</t>
  </si>
  <si>
    <t>DIAPHRAGM RUBBER FOR VALVE SIZE 1"</t>
  </si>
  <si>
    <t>5300029965</t>
  </si>
  <si>
    <t>MISC</t>
  </si>
  <si>
    <t>5300011347</t>
  </si>
  <si>
    <t>Wellworth Engineering Co.</t>
  </si>
  <si>
    <t>Crane-sandurs Diaphramgh valves spares</t>
  </si>
  <si>
    <t>80 Nos</t>
  </si>
  <si>
    <t>PO-3000033368  dated 08.08.2016</t>
  </si>
  <si>
    <t>Rs 22990/-Cost improvement achieved by developing New Vendor M/S Wellworth Engg Co at payment term-30 days for Crane-Sandurs diaphramgh valve against CB Trading Corp.</t>
  </si>
  <si>
    <t>Neo-Impex Stainless Pvt.Ltd</t>
  </si>
  <si>
    <t>Flanges- Fittings Manufacturer</t>
  </si>
  <si>
    <t>Cost Savings Ref. to LPO rates=</t>
  </si>
  <si>
    <t>LPODATE</t>
  </si>
  <si>
    <t>Neo-Impex Stainless Pvt Ltd</t>
  </si>
  <si>
    <t>Paras Engineering works P.Ltd</t>
  </si>
  <si>
    <t xml:space="preserve">Ref. No.: NI/2016‐17/Q‐168, Dated: 21.07.2016 </t>
  </si>
  <si>
    <t>Ref. No.: PEW/300/2016-17 dated 22.07.2016</t>
  </si>
  <si>
    <t>REF: NT/VVFL/2016/7446 dated 21.07.2016</t>
  </si>
  <si>
    <t>Bhavin Vadhani</t>
  </si>
  <si>
    <t>Amol Bodke-Cell   : 91 9870003287</t>
  </si>
  <si>
    <t>RED ELBOW A105 90D 1"SWX1/2"BSPT THREDED</t>
  </si>
  <si>
    <t>1324176</t>
  </si>
  <si>
    <t>3000028640</t>
  </si>
  <si>
    <t>1100024608</t>
  </si>
  <si>
    <t>CS CON REDUCER 2"X1 1/2"   ERW S40 BE</t>
  </si>
  <si>
    <t>1324907</t>
  </si>
  <si>
    <t>CS CON REDUCER 1 1/2"X1 1/4 " ERW S40 BE</t>
  </si>
  <si>
    <t>1324908</t>
  </si>
  <si>
    <t>CS CON REDUCER  1 1/4"X1"  ERW S40 BE</t>
  </si>
  <si>
    <t>1324909</t>
  </si>
  <si>
    <t>COUPLING FULL, A-105, 3000#, 1/2" BSP</t>
  </si>
  <si>
    <t>1316183</t>
  </si>
  <si>
    <t>3000029965</t>
  </si>
  <si>
    <t>ELBOW SS316L 1" R=1.5D SMLS SCH40</t>
  </si>
  <si>
    <t>1304699</t>
  </si>
  <si>
    <t>3000017002</t>
  </si>
  <si>
    <t>1100024623</t>
  </si>
  <si>
    <t>TEE SS316L 1"X1" SMLS SCH40</t>
  </si>
  <si>
    <t>1311578</t>
  </si>
  <si>
    <t>STUB END SS316L 1" SMLS SCH40</t>
  </si>
  <si>
    <t>1310246</t>
  </si>
  <si>
    <t>3000024810</t>
  </si>
  <si>
    <t>STUB END SS316L 1.1/2" SMLS SCH40</t>
  </si>
  <si>
    <t>1310248</t>
  </si>
  <si>
    <t>3000019773</t>
  </si>
  <si>
    <t>TEE SS316L 1.1/2"X1.1/2" SMLS SCH40</t>
  </si>
  <si>
    <t>1311579</t>
  </si>
  <si>
    <t>3000014465</t>
  </si>
  <si>
    <t>FLANGE CS L/J 1" 150#</t>
  </si>
  <si>
    <t>1306332</t>
  </si>
  <si>
    <t>FLANGE CS L/J 1.1/2" 150#</t>
  </si>
  <si>
    <t>1306333</t>
  </si>
  <si>
    <t>3000019212</t>
  </si>
  <si>
    <t>FLANGE CS SORF 1/2" 150#</t>
  </si>
  <si>
    <t>1306367</t>
  </si>
  <si>
    <t>3000024540</t>
  </si>
  <si>
    <t>ELBOW SS316L 2" R=1.5D SMLS SCH40</t>
  </si>
  <si>
    <t>1304710</t>
  </si>
  <si>
    <t>1100024537</t>
  </si>
  <si>
    <t>STUB END SS316L 2" SMLS SCH40</t>
  </si>
  <si>
    <t>1310254</t>
  </si>
  <si>
    <t>ELBOW SS316L 3" R=1.5D SMLS SCH40</t>
  </si>
  <si>
    <t>1304714</t>
  </si>
  <si>
    <t>1304654</t>
  </si>
  <si>
    <t>3000021333</t>
  </si>
  <si>
    <t>FLANGE CS SORF 2" 150#</t>
  </si>
  <si>
    <t>1306372</t>
  </si>
  <si>
    <t>ELBOW CS 90D 1" SMLS SCH40</t>
  </si>
  <si>
    <t>1304647</t>
  </si>
  <si>
    <t>3000009003</t>
  </si>
  <si>
    <t>FLANGE CS SORF 1" 150#</t>
  </si>
  <si>
    <t>1306361</t>
  </si>
  <si>
    <t>3000030668</t>
  </si>
  <si>
    <t>FLANGE CS SORF 3/4" 150#</t>
  </si>
  <si>
    <t>1306377</t>
  </si>
  <si>
    <t>3000014779</t>
  </si>
  <si>
    <t>FLANGE CS SORF 1.1/2" 150#</t>
  </si>
  <si>
    <t>1306365</t>
  </si>
  <si>
    <t>3000023040</t>
  </si>
  <si>
    <t>1304673</t>
  </si>
  <si>
    <t>1100024438</t>
  </si>
  <si>
    <t>FLANGE CS A105 SORF 2" 150#</t>
  </si>
  <si>
    <t>1306308</t>
  </si>
  <si>
    <t>3000028663</t>
  </si>
  <si>
    <t>REDUCER CONC CS 2"X1" SMLS SCH40</t>
  </si>
  <si>
    <t>1309933</t>
  </si>
  <si>
    <t>COUPLING FULL CS SW 1" 3000#</t>
  </si>
  <si>
    <t>1305898</t>
  </si>
  <si>
    <t>Excise Duty with surchargeetc 12.5 %</t>
  </si>
  <si>
    <t>100% against delivery within 30 days.</t>
  </si>
  <si>
    <t>100% against delivery prior to dispatch clearance IR,QA documents .</t>
  </si>
  <si>
    <t>355 Nos.</t>
  </si>
  <si>
    <t>PO-3000032897 dated 22.07.2016</t>
  </si>
  <si>
    <t>Rs 5525/-Cost improvement achieved by developing New Manufacturer M/S Neo-Impex Stainless Pvt Ltd at payment term-30 days for Flanges,forge fittings against Paras Engg.works,Nippen Tubes,Sanjay bonnyforge,Jai Ambeforge</t>
  </si>
  <si>
    <t>PO-3000032406 dated 07-07.2016 / PO-3000024181  dated 21.09.2015</t>
  </si>
  <si>
    <t>S A Consultant</t>
  </si>
  <si>
    <t>138 Nos.</t>
  </si>
  <si>
    <t>Pressure Vessel Testing/Externaly &amp; Ultrasonically testing</t>
  </si>
  <si>
    <t>PO-3200028894 dated 26.07.2016</t>
  </si>
  <si>
    <t>Rs 25530/-Cost saving Ref to LPO-3200008614 dated 23.06.14 ,achieved by developing New Consultant M/S SA Consultant for Pressure vessel Testing against M/S.Excel Engineers</t>
  </si>
  <si>
    <t>Cost saving in scaffolding work achieved Rs.10000/- by splitting PO  between two vendors M/S S.K enterprise for Scaffolding &amp; M/S .Thermal engineering for Insulation.</t>
  </si>
  <si>
    <t>PO-3200028795 dated 21.07.2016</t>
  </si>
  <si>
    <t>DIAMETER 5.79 METER X HEIGHT 31.10 METER-Lumsump work</t>
  </si>
  <si>
    <t>Meru Enterprises</t>
  </si>
  <si>
    <t>COPPER TAIL PIPE FOR H2 BOTTLING 3/8"X6MX6 Nos.</t>
  </si>
  <si>
    <t>3/8"X6MX6 Nos.</t>
  </si>
  <si>
    <t>PO-3000033275  dated 03.08.2016</t>
  </si>
  <si>
    <t>Rs 16770/-Cost improvement achieved by developing alternative Vendor M/S Meru Enterprises at payment term-30 days for Copper tail Pipe against M/S Ashwin Engineering Works</t>
  </si>
  <si>
    <t>LPO NO</t>
  </si>
  <si>
    <t>Date</t>
  </si>
  <si>
    <t>Negotiated rate as 10.08.16</t>
  </si>
  <si>
    <t>Savings Ref.to LPO rate</t>
  </si>
  <si>
    <t>Vendor</t>
  </si>
  <si>
    <t>BEARING UCT 216,NTN OR SKF</t>
  </si>
  <si>
    <t>23.06.2014</t>
  </si>
  <si>
    <t>200449     BHARAT TRADING COMPANY</t>
  </si>
  <si>
    <t>BEARING 6004, SKF</t>
  </si>
  <si>
    <t>18.11.2014</t>
  </si>
  <si>
    <t>200330     A.S.BEARING COMPANY</t>
  </si>
  <si>
    <t>Last PO No</t>
  </si>
  <si>
    <t>Last PO date</t>
  </si>
  <si>
    <t> Last PO price</t>
  </si>
  <si>
    <t> Vendor</t>
  </si>
  <si>
    <t>Cost savings Ref. to FY-2014  PO rates</t>
  </si>
  <si>
    <t>BEARING TAPER ROLLER 4T-835/832 NTN</t>
  </si>
  <si>
    <t>203167     JINHARSH INDUSTRIAL SOLUTIONS PRIVA</t>
  </si>
  <si>
    <t>BEARING TAPER ROLLER 34306/34500 TIMKEN</t>
  </si>
  <si>
    <t>BEARING TAPER ROLLER 9285/9220 TIMKEN</t>
  </si>
  <si>
    <t>BEARING TAPER ROLLER 4T-65200/65500 NTN</t>
  </si>
  <si>
    <t>M/S. Jinharsh Industrial Solutions Pvt. Ltd. As per attached offer</t>
  </si>
  <si>
    <t>Quotation N° SO/2016/11193 &amp; discounted price Rs.650</t>
  </si>
  <si>
    <t> Previous Vendor</t>
  </si>
  <si>
    <t>Savings Ref.LPO rates</t>
  </si>
  <si>
    <t>BEARING NTN F 206 J</t>
  </si>
  <si>
    <t>31.01.2015</t>
  </si>
  <si>
    <t>200969     NIRALI ENTERPRISES</t>
  </si>
  <si>
    <t>3000034092 dated 29.08.16</t>
  </si>
  <si>
    <t>JINHARSH INDUSTRIAL SOLUTIONS PVT.LTD</t>
  </si>
  <si>
    <t>TIMKEN /NTN MAKE BEARINGS</t>
  </si>
  <si>
    <t>08 Nos.</t>
  </si>
  <si>
    <t>Rs 9720/-Cost savings achieved by developing alternative Vendor M/S Jinharsh Solutions P.Ltd at payment term-30 days for TIMKEN/NTN Make Bearings campared to 2014 rates of M/S Bharat Trading Co.</t>
  </si>
  <si>
    <t>3000035275 dated 06.10.16</t>
  </si>
  <si>
    <t>04 Nos.</t>
  </si>
  <si>
    <t>Rs 4860/-Cost savings achieved by developing alternative Vendor M/S Jinharsh Solutions P.Ltd at payment term-30 days for TIMKEN/NTN Make Bearings campared to 2014 rates of M/S Bharat Trading Co.</t>
  </si>
  <si>
    <t>14 Nos.</t>
  </si>
  <si>
    <t>3000035425 dated 14.10.16</t>
  </si>
  <si>
    <t>Rs 3567/-Cost savings achieved by developing alternative Vendor M/S Jinharsh Solutions P.Ltd at payment term-30 days for TIMKEN/NTN Make Bearings campared to 2014 rates of M/S Bharat Trading Co.</t>
  </si>
  <si>
    <t xml:space="preserve">Rs.3300/_Cost savings for emergency PR TAPE GRAFOIL ADHESIVE ROLLS 3/4"X1/64" – 20 nos,Compared to M/S.Pankaj Trading co. Offer
delivered today on 14th Aug.2016
</t>
  </si>
  <si>
    <t>S R Enterprise</t>
  </si>
  <si>
    <t xml:space="preserve">TAPE GRAFOIL ADHESIVE ROLLS 3/4"X1/64" </t>
  </si>
  <si>
    <t>20 Nos</t>
  </si>
  <si>
    <t>PO-3000033640 dated 16.08.2016</t>
  </si>
  <si>
    <t>UKL Negotiated rate as 12.08.16</t>
  </si>
  <si>
    <t>GASKET CAF 3" STYLE 59 3MMTHK</t>
  </si>
  <si>
    <t>201342     UNI KLINGER LIMITED</t>
  </si>
  <si>
    <t>GASKET CAF 2" STYLE 59 3MMTHK</t>
  </si>
  <si>
    <t>GASKET SS316L SW 1" 900#</t>
  </si>
  <si>
    <t>201018     PERFECT GASKET INDUSTRIES</t>
  </si>
  <si>
    <t>GASKET SS316L SW 1.1/2" 900#</t>
  </si>
  <si>
    <t>GASKET SS316L SW 1/2" 900#</t>
  </si>
  <si>
    <t>GASKET SS316L SW 3" 900#</t>
  </si>
  <si>
    <t>GASKET SS316L SW 4" 900#</t>
  </si>
  <si>
    <t>GASKET SS316L SW GR.FL. 4" 300#</t>
  </si>
  <si>
    <t>GASKET SS316L SW GR.FL. 2" 600#</t>
  </si>
  <si>
    <t>STYLE 60 OIL GASKET 1000MMX1000MMX0.8MM</t>
  </si>
  <si>
    <t>GASKET METALIC CHAMPION STYLE 54 STEAM</t>
  </si>
  <si>
    <t>201175     SEALANT AND GASKET (INDIA) PVT LTD</t>
  </si>
  <si>
    <t xml:space="preserve">                73,349.15 </t>
  </si>
  <si>
    <t xml:space="preserve">    4,813.70 </t>
  </si>
  <si>
    <t>110 Nos.</t>
  </si>
  <si>
    <t>GASKET SS316L SW  900#</t>
  </si>
  <si>
    <t>Rs.4814 i.e 30-34 % cost saving compared to last PO rates of Perfect Gaskets Pvt Ltd</t>
  </si>
  <si>
    <t>3000033601 Dated 12.08.2016</t>
  </si>
  <si>
    <t>NILKAMAL LTD</t>
  </si>
  <si>
    <t>HYDRAULIC HAND PALLET TRUCK</t>
  </si>
  <si>
    <t>2 Nos.</t>
  </si>
  <si>
    <t>3000033646 Dated 16.08.2016</t>
  </si>
  <si>
    <t>Rs.6500 i.e 15% cost saving compared to last PO rates of REVIVAL ENGINEERS</t>
  </si>
  <si>
    <t>Mecgale pneumatics Pvt Ltd</t>
  </si>
  <si>
    <t xml:space="preserve">CHP Spares </t>
  </si>
  <si>
    <t>28 Nos.</t>
  </si>
  <si>
    <t>2015 Spares ARC rates continued for 2016</t>
  </si>
  <si>
    <t>3000034020  Dated 26.08.2016</t>
  </si>
  <si>
    <t>Cost Savings Ref.to LPO rates</t>
  </si>
  <si>
    <t>Bhushan Tubes P Ltd</t>
  </si>
  <si>
    <t>Superior Steel</t>
  </si>
  <si>
    <t xml:space="preserve">Ref. No. BTPL/Q/0436AJ/2016-17 Dated: 09.08.2016 </t>
  </si>
  <si>
    <t>Ref. No.: SSI/Q-27371/VVF/2016-17 dated 09.08.2016</t>
  </si>
  <si>
    <t>REF: NT/VVFL/2016/7467 dated 10.08.2016</t>
  </si>
  <si>
    <t>Ashish Zha:  Mob:08826638668</t>
  </si>
  <si>
    <t>Bhavesh-919909947380</t>
  </si>
  <si>
    <t>Mr.Ram Bodke-022-66595086</t>
  </si>
  <si>
    <t>PIPE CS 4" SMLS SCH40 IBR</t>
  </si>
  <si>
    <t>PO-3000009006 DATED 17.04.2014 /3000021322 dated 12.06.15</t>
  </si>
  <si>
    <t>1100025413</t>
  </si>
  <si>
    <t>PIPE CS 3" SMLS SCH40 IBR</t>
  </si>
  <si>
    <t>PIPE CS 2" SMLS SCH40 IBR</t>
  </si>
  <si>
    <t>3000023977 dated 11.09.2016</t>
  </si>
  <si>
    <t>PIPE CS 1/2" SMLS SCH40 IBR</t>
  </si>
  <si>
    <t>Extra -6000</t>
  </si>
  <si>
    <t>100% against delivery after dispatch clearenceIR,QA documents from VVF/TUV on prorata basis</t>
  </si>
  <si>
    <t>Paras Engineerin Works</t>
  </si>
  <si>
    <t xml:space="preserve">REF: NT/VVFL/2016/7467 Dated 10.08.2016
</t>
  </si>
  <si>
    <t>NI/2016‐17/Q‐206 dated 10/08/2016</t>
  </si>
  <si>
    <t>Our Ref No.PEW/ VVF/396/16-17  dated 12/08/2016</t>
  </si>
  <si>
    <t xml:space="preserve">Mr.Dixit Sanghvi : +91-87585 88188
</t>
  </si>
  <si>
    <t>Mr.Bhavin Vadhani-23898180</t>
  </si>
  <si>
    <t>ELBOW CS 90D 4" SMLS SCH40 IBR</t>
  </si>
  <si>
    <t>3000021322</t>
  </si>
  <si>
    <t>ELBOW CS 90D 3" SMLS SCH40 IBR</t>
  </si>
  <si>
    <t>ELBOW CS 90D 2" SMLS SCH40 IBR</t>
  </si>
  <si>
    <t>3000020101</t>
  </si>
  <si>
    <t>FLANGE CS SORF 4" 300# IBR</t>
  </si>
  <si>
    <t>FLANGE CS SORF 3" 300# IBR</t>
  </si>
  <si>
    <t>FLANGE CS SORF 2" 300# IBR</t>
  </si>
  <si>
    <t>FLANGE A105 FORGED CS 1/2" 300# IBR</t>
  </si>
  <si>
    <t>3000009006</t>
  </si>
  <si>
    <t>REDUCER CONC CS 2"X1" SMLS IBR</t>
  </si>
  <si>
    <t>REDUCER CONC CS 4"X2" SMLS IBR</t>
  </si>
  <si>
    <t>100% against delivery after dispatch clearenceIR,QA documents from VVF</t>
  </si>
  <si>
    <t>Cost Savings Ref. LPO Rates</t>
  </si>
  <si>
    <t>PIPE CS -SMLS SCH40 IBR</t>
  </si>
  <si>
    <t>119 Mtrs</t>
  </si>
  <si>
    <t>Rs 99609/-Cost savings achieved by developing alternative Vendor M/S SUPERIOR STEEL INDUSTRIES at payment term-30 days for MSL/JINDAL Authorized dealer to 2015 rates of M/S Supermax Boiler Engineers</t>
  </si>
  <si>
    <t>IBR ForgeFittings &amp; Flanges</t>
  </si>
  <si>
    <t>32 Nos</t>
  </si>
  <si>
    <t>Rs 10919/-Cost savings achieved by developing alternative Vendor M/S Nippen Tubes at payment term-30 days for IBR Flanges&amp; Fittings to 2015 rates of M/S Supermax Boiler Engineers</t>
  </si>
  <si>
    <t>3000034363 dated 07.09.16</t>
  </si>
  <si>
    <t>3000034370 dated 07.09.16</t>
  </si>
  <si>
    <t>OIL LUBRICANT SHELL OMALA S4GX 320</t>
  </si>
  <si>
    <t>Millstore Corporation</t>
  </si>
  <si>
    <t>1254 Ltr</t>
  </si>
  <si>
    <t>PO No.3000035622 dated 21.10.2016</t>
  </si>
  <si>
    <t>Last PO rate 715/ltr. for FY-16,negotiated PO-rates Rs.710/lit with new Authorised dealer for Shell OMALA- Millstores Corporation</t>
  </si>
  <si>
    <t>210 Ltr</t>
  </si>
  <si>
    <t>3000035438 dated 14.10.2016</t>
  </si>
  <si>
    <t>Last PO rate 118.18/ltr. of FY-16/SR Enterprises,negotiated PO-rates Rs.110/lit with new dealer Aarkay Sons</t>
  </si>
  <si>
    <t xml:space="preserve">OIL LUBRICANT MULTI PURPOSE 20W40,MAKE:BPCL
Mak Multi grade 20 W 40
</t>
  </si>
  <si>
    <t>654&amp;702.00 /mtr LPO rates of Supermax Boilers Vs.Finalised rates for IBR CS Pipes 309.00 &amp; Rs.259/Mtr. with Superior steel Ind.</t>
  </si>
  <si>
    <t>3000035643 dated 21.10.16</t>
  </si>
  <si>
    <t>3000038728 dated 02/02/17</t>
  </si>
  <si>
    <t>24 Mtrs</t>
  </si>
  <si>
    <t>3000040610 dated 04.04.2017</t>
  </si>
  <si>
    <t>48 Mtrs</t>
  </si>
  <si>
    <t>Plant</t>
  </si>
  <si>
    <t>Document Date</t>
  </si>
  <si>
    <t>Purchasing Document</t>
  </si>
  <si>
    <t>Currency</t>
  </si>
  <si>
    <t>Quantity in SKU</t>
  </si>
  <si>
    <t>Order Unit</t>
  </si>
  <si>
    <t>Still to be delivered (qty)</t>
  </si>
  <si>
    <t>Stockkeeping unit</t>
  </si>
  <si>
    <t>Purch. Organization</t>
  </si>
  <si>
    <t>Still to be invoiced (qty)</t>
  </si>
  <si>
    <t>Purchasing Group</t>
  </si>
  <si>
    <t>3000040610</t>
  </si>
  <si>
    <t>1308463</t>
  </si>
  <si>
    <t>PIPE CS 1" SMLS SCH80 IBR</t>
  </si>
  <si>
    <t>202949     SUPERIOR STEEL INDUSTRIES</t>
  </si>
  <si>
    <t>403</t>
  </si>
  <si>
    <t>3000035643</t>
  </si>
  <si>
    <t>499</t>
  </si>
  <si>
    <t>201273     SUPERMAX BOILER ENGINEERS</t>
  </si>
  <si>
    <t>3200018317</t>
  </si>
  <si>
    <t>E04</t>
  </si>
  <si>
    <t>1315200</t>
  </si>
  <si>
    <t>3000034363</t>
  </si>
  <si>
    <t>1322272</t>
  </si>
  <si>
    <t>3000036819</t>
  </si>
  <si>
    <t>202730     Bhushan Tubes Pvt.Ltd.</t>
  </si>
  <si>
    <t>3000023977</t>
  </si>
  <si>
    <t>3000020253</t>
  </si>
  <si>
    <t>Cost Savings Reference to Supermax Boilers LPO rates</t>
  </si>
  <si>
    <t>3000032677 dated 18.07.2016</t>
  </si>
  <si>
    <t>Burckhardt Compression (India) Pvt. Ltd.</t>
  </si>
  <si>
    <t xml:space="preserve">Compressor Spares-BURCK C4U314GP CONC VALVE BCA </t>
  </si>
  <si>
    <t>5 Nos</t>
  </si>
  <si>
    <t>11000/- Savings reference to LPO rates for BURCK C4U314GP CONC VALVE BCA  spares</t>
  </si>
  <si>
    <t>Savings Ref to LPO rates</t>
  </si>
  <si>
    <t>Last Purchase Detail</t>
  </si>
  <si>
    <t>Jinharsh Ind.Solutions P Ltd</t>
  </si>
  <si>
    <t>Reliable Trade Link</t>
  </si>
  <si>
    <t>Pankaj Trading C0.</t>
  </si>
  <si>
    <t>L1-Tools Traders Turbhe Pvt Ltd</t>
  </si>
  <si>
    <t>Chamunda Bearings</t>
  </si>
  <si>
    <t>Bharat Trading Co.</t>
  </si>
  <si>
    <t>Quotation N° SO/2016/11914, dated 15.11.16</t>
  </si>
  <si>
    <t>Ref:-  Quotation No: RTL/2016-17/19 dtd.15.11.16</t>
  </si>
  <si>
    <t>Ref:- Email,  dtd.9.9.16</t>
  </si>
  <si>
    <t>Ref:- Email,  dtd.17.11.16</t>
  </si>
  <si>
    <t>Ref:- Email  dtd.15.11.16</t>
  </si>
  <si>
    <t>Avinash - 8976550031</t>
  </si>
  <si>
    <t>SagarBaxi - 9920631123</t>
  </si>
  <si>
    <t>Pankaj bhai-9324880304</t>
  </si>
  <si>
    <t>Phone 022  27837860 - 27847806</t>
  </si>
  <si>
    <t>Ashok shah-9821188654/8097579015</t>
  </si>
  <si>
    <t>J.C.Shah  -23423250 / 23424338</t>
  </si>
  <si>
    <t>PRF</t>
  </si>
  <si>
    <t>Material code</t>
  </si>
  <si>
    <t>SPANNER HAMMER RING 36MM</t>
  </si>
  <si>
    <t>1100026792</t>
  </si>
  <si>
    <t>1311743</t>
  </si>
  <si>
    <t>SPANNER HAMMER OPEN 36MM</t>
  </si>
  <si>
    <t>1311738</t>
  </si>
  <si>
    <t>SPANNER HAMMER RING 41MM</t>
  </si>
  <si>
    <t>1311744</t>
  </si>
  <si>
    <t>SPANNER HAMMER OPEN SINGLE END 41MM</t>
  </si>
  <si>
    <t>1311740</t>
  </si>
  <si>
    <t>SPANNER HAMMER RING 46MM</t>
  </si>
  <si>
    <t>1311745</t>
  </si>
  <si>
    <t>SPANNER HAMMER OPEN 46MM</t>
  </si>
  <si>
    <t>1322928</t>
  </si>
  <si>
    <t>SPANNER HAMMER RING 50MM</t>
  </si>
  <si>
    <t>1321412</t>
  </si>
  <si>
    <t>SPANNER HAMMER OPEN 50MM</t>
  </si>
  <si>
    <t>1322927</t>
  </si>
  <si>
    <t>SPANNER HAMMER OPEN 65MM</t>
  </si>
  <si>
    <t>1311739</t>
  </si>
  <si>
    <t>SPANNER HAMMER RING 65MM</t>
  </si>
  <si>
    <t>1311746</t>
  </si>
  <si>
    <t>10 days</t>
  </si>
  <si>
    <t>Tools Traders Turbhe Pvt Ltd</t>
  </si>
  <si>
    <t>36 Nos.</t>
  </si>
  <si>
    <t>3000036581 dated 23.11.16</t>
  </si>
  <si>
    <t>Cost savings Reference to Pankaj Trading Co LPO rates, by developing New vendor-Tools Traders Pvt Ltd.</t>
  </si>
  <si>
    <t>Savings Ref to LPO rate</t>
  </si>
  <si>
    <t>Last Purchase PO No.</t>
  </si>
  <si>
    <t>Triveni Equipments Pvt Ltd</t>
  </si>
  <si>
    <t>Vira Industries</t>
  </si>
  <si>
    <t>OCK Engineers</t>
  </si>
  <si>
    <t xml:space="preserve">E-mail  Offer Dated 21.11.2016
</t>
  </si>
  <si>
    <t xml:space="preserve">REF: TEPL/QTN/7751 Dated 21.11.2016
</t>
  </si>
  <si>
    <t>Our ref. 172/1617 dated 19.11.2016</t>
  </si>
  <si>
    <t>Our ref. 420/2016 dated 19.11.2016</t>
  </si>
  <si>
    <t>S.S.Shah-(079) 25831404, 25836320</t>
  </si>
  <si>
    <t>Dayanand Yadav: 8080847500</t>
  </si>
  <si>
    <t>Sunil Gupte: 022 27604757</t>
  </si>
  <si>
    <t>STRAINER Y TYPE SS316L 3" X 150# FE, Strainer 'Y' Type – 3" X 150#
SS 'Y' Strainer Flange Ends,
MOC: -
1, Body  : Type 316L Cast stainless steel to ASTM
2, Body Flange : A 182 F 316L 150 #, RF
3, Cover Flange: A 182 F 316L BLRF 150 #. -
4, Screen: SS 316L 40 MESH -
5, Gasket: Spiral wound graphite fill inner and outer ring SS316L 150#
6, Cl.Studs &amp; Nuts: SS 304</t>
  </si>
  <si>
    <t>offer not given for SS316L MOC</t>
  </si>
  <si>
    <t>STRAINER Y-TYPE CS FE 4" 150#</t>
  </si>
  <si>
    <t xml:space="preserve">3000003981 dated 20.10.2013 </t>
  </si>
  <si>
    <t>Extra-1200</t>
  </si>
  <si>
    <t>3000036494 dated 22.11.16</t>
  </si>
  <si>
    <t>Cost savings Reference to Triveni Equipments Pvt.Ltd  LPO rates Vs Delta Engineers</t>
  </si>
  <si>
    <t>Taparia Handtools</t>
  </si>
  <si>
    <t>3200031442 dated 17.11.2016</t>
  </si>
  <si>
    <t>Cost Savings Reference to Supermax Boilers LPO rates 3200024040 dated 07.01.16</t>
  </si>
  <si>
    <t>SUPERMAX BOILER ENGINEERS</t>
  </si>
  <si>
    <t>Annual passing of boiler MR-15472</t>
  </si>
  <si>
    <t>1 AU</t>
  </si>
  <si>
    <t>202995     HD Fire Protect Pvt. Ltd.</t>
  </si>
  <si>
    <t>SPRINKLER 68 DEG. C</t>
  </si>
  <si>
    <t>3000036131 dated 10-11-2016</t>
  </si>
  <si>
    <t>Cost Savings Reference to Shahi Safety services Supply PO rates 3000035199 dated 05.10.16</t>
  </si>
  <si>
    <t>Cost savings Ref to LPO rates</t>
  </si>
  <si>
    <t>PIPE OXY ACETYLENE CYLINDER 3/8 SIZE RED</t>
  </si>
  <si>
    <t>400024     BHAGYA LAXMI HARDWARE &amp; ELECTRICALS</t>
  </si>
  <si>
    <t>PIPE OXY ACETYLENE CYLINDER3/8 SIZE BLUE</t>
  </si>
  <si>
    <t>FLASHBACK ARRESTOR TORCH END ACETYLENE,OF L&amp; T MAKE SUITABLE TO ESAB MAKE OXY-ACETYLENE GAS CUTTING TORCH</t>
  </si>
  <si>
    <t>201259     SUMAN ENTERPRISES</t>
  </si>
  <si>
    <t>FLASHBACK ARRESTOR TORCH END OXYGEN, OF L&amp; T MAKE SUITABLE TO ESAB MAKE OXY-ACETYLENE GAS CUTTING TORCH</t>
  </si>
  <si>
    <t>3000036675 dated 25.11.16</t>
  </si>
  <si>
    <t>Cost Savings Reference to LPO  rates of Bhagyalaxmi hardware &amp; Suman enterprises</t>
  </si>
  <si>
    <t>Prankaj Trading Co.</t>
  </si>
  <si>
    <t>PIPE OXY ACETYLENE CYLINDER &amp; FLASHBACK ARRESTOR TORCH END ACETYLENE</t>
  </si>
  <si>
    <t>200 mtrs &amp; 8 nos</t>
  </si>
  <si>
    <t>PO-3000037018 dated 06.12.2016</t>
  </si>
  <si>
    <t>Rs 22360/-Cost improvement achieved by developing alternative Vendor M/S Meru Enterprises at payment term-30 days for Copper tail Pipe against M/S Ashwin Engineering Works</t>
  </si>
  <si>
    <t>3000037083 dated 09/12/16</t>
  </si>
  <si>
    <t>Cost savings of Rs. 1083 Reference to M/S.Metal Tubes LPO rates</t>
  </si>
  <si>
    <t>Bhagwanti Steels</t>
  </si>
  <si>
    <t>Flexible PU Tube-8MM &amp; Connector press fit</t>
  </si>
  <si>
    <t>20 mtrs &amp; 45 nos</t>
  </si>
  <si>
    <t xml:space="preserve">Rs.21758 Savings reference to Year 14-15 LPO rates for KSB Pump Spares from same vendor Konkan Sales </t>
  </si>
  <si>
    <t>3000037732 dated 02.01.17</t>
  </si>
  <si>
    <t>Konkan Sales &amp; Services</t>
  </si>
  <si>
    <t>KSB Pump Spares</t>
  </si>
  <si>
    <t>37 Nos.</t>
  </si>
  <si>
    <t>Rs.12712 Cost savings by  by Creating Competition betn authorised dealers Vartak Pumps &amp; Vijaykumar &amp; Co.</t>
  </si>
  <si>
    <t>3000037736  dated 02.01.2017</t>
  </si>
  <si>
    <t>PUMP M&amp;P 8-10-BLE IMPELLER</t>
  </si>
  <si>
    <t>VARTAK PUMPS &amp; PROJECTS CONSULTANTS</t>
  </si>
  <si>
    <t>1 No.</t>
  </si>
  <si>
    <t>Microfinish Pump Casing Gaskets/ Pump Impellers</t>
  </si>
  <si>
    <t>JSE Industries,Vadodara</t>
  </si>
  <si>
    <t>3000038245 dated 18.01.17</t>
  </si>
  <si>
    <t>PR Date</t>
  </si>
  <si>
    <t>PR No.</t>
  </si>
  <si>
    <t xml:space="preserve">Item </t>
  </si>
  <si>
    <t>Short Text,</t>
  </si>
  <si>
    <t>Requisitioner</t>
  </si>
  <si>
    <t>Konkan Sales Last PO price/ARC 2017 Rate for SS316L ,Delivery-22 Weeks</t>
  </si>
  <si>
    <t>Technoservices Final Rates for SS316,Delivery-12 Weeks</t>
  </si>
  <si>
    <t>Alternative  Vendor M/S JSE Industries offer dated 06.02.2017</t>
  </si>
  <si>
    <r>
      <t xml:space="preserve">PUMP KSB CPK C 65-250 IMPELLER, MAKE - KSB CPK-C-65-250, </t>
    </r>
    <r>
      <rPr>
        <sz val="11"/>
        <color rgb="FFFF0000"/>
        <rFont val="Calibri"/>
        <family val="2"/>
      </rPr>
      <t>MOC-Not Mentioned</t>
    </r>
  </si>
  <si>
    <t>MECH TALOJA</t>
  </si>
  <si>
    <t>SR NO-554308</t>
  </si>
  <si>
    <t>PUMP KSB CPK C 40-250 IMPELLER,Pump 04G5A</t>
  </si>
  <si>
    <t>REQUIRED IMPELLER DIA     :250MM</t>
  </si>
  <si>
    <t>REQUIRED IMPELLER MOC     :SS-316L</t>
  </si>
  <si>
    <t>Pump Model                : CPK-CM40-250(S)</t>
  </si>
  <si>
    <t>Sr. No                    : 352430</t>
  </si>
  <si>
    <t>Flow (required)(M3/Hr)    : 18</t>
  </si>
  <si>
    <t>Head (required)(MTR)      : 80</t>
  </si>
  <si>
    <t>Service Fluid             : Fatty Alcohol</t>
  </si>
  <si>
    <t>Viscosity                 : 2 mPas</t>
  </si>
  <si>
    <t>Specific Gravity          : 0.816 to 0.795</t>
  </si>
  <si>
    <t>Temperature               : 80 to 130 deg cent</t>
  </si>
  <si>
    <t>PUMP KSB CPK C 50-250 VOLUTE CASING,P-310A</t>
  </si>
  <si>
    <t>TYPE :CPX-CX-50-250N+CLD</t>
  </si>
  <si>
    <t>SR NO:51110610/200/01</t>
  </si>
  <si>
    <t>Q    :40 M3/HR</t>
  </si>
  <si>
    <t>N    :2920 RPM</t>
  </si>
  <si>
    <t>H:   :60 M</t>
  </si>
  <si>
    <t>PUMPING TEMP:240-265 DEG C</t>
  </si>
  <si>
    <t>MOC OF CASING:SS316L</t>
  </si>
  <si>
    <t>PUMP KSB CPK C 50-250 IMPELLER, MOC-CF3M,SIZE-260MM</t>
  </si>
  <si>
    <t xml:space="preserve">Total </t>
  </si>
  <si>
    <t>16 Weeks</t>
  </si>
  <si>
    <t>5-6 Weeks</t>
  </si>
  <si>
    <t>Cost Savings</t>
  </si>
  <si>
    <t>3000038872 dated 07.02.2017</t>
  </si>
  <si>
    <t>KSB Pump Impellers/Volute Casings</t>
  </si>
  <si>
    <t>4 Nos</t>
  </si>
  <si>
    <t>70 Nos casing gaskets/ 2 nos Impellers</t>
  </si>
  <si>
    <r>
      <t xml:space="preserve">Microfinish Pumps increase their Casings gaskets prices by 400% Ref LPO rates,develop alternative Pump spares Manufacturer recommended by Mech Taloja team &amp; Myself procurement experience with past employment with DNL/UPL of </t>
    </r>
    <r>
      <rPr>
        <b/>
        <u/>
        <sz val="11"/>
        <color theme="1"/>
        <rFont val="Calibri"/>
        <family val="2"/>
        <scheme val="minor"/>
      </rPr>
      <t>M/S JSE Industries,Vadodara</t>
    </r>
  </si>
  <si>
    <r>
      <t xml:space="preserve">Cost savings reference to KSB pumps spraes rates of Konkan sales by developing technically recommended alternative vendor </t>
    </r>
    <r>
      <rPr>
        <b/>
        <u/>
        <sz val="11"/>
        <color theme="1"/>
        <rFont val="Calibri"/>
        <family val="2"/>
        <scheme val="minor"/>
      </rPr>
      <t>M/S.JSE Industries,Vadodara</t>
    </r>
  </si>
  <si>
    <t>Sujal Enterprises</t>
  </si>
  <si>
    <t>Weir-BDK VALVE GLOBE CS 4" 300# IBR</t>
  </si>
  <si>
    <t>3000039102 dated 14.02.2017</t>
  </si>
  <si>
    <r>
      <t xml:space="preserve">Cost savings reference to Autogeneous welding 4" IBR globe valves by developing alternative vendor </t>
    </r>
    <r>
      <rPr>
        <b/>
        <u/>
        <sz val="11"/>
        <color theme="1"/>
        <rFont val="Calibri"/>
        <family val="2"/>
        <scheme val="minor"/>
      </rPr>
      <t>Sujal Enterprises(Weir-BDK Authorised dealer)</t>
    </r>
  </si>
  <si>
    <t>WO FOR -SS304 TANK FAB Modifiaction work at Taloja</t>
  </si>
  <si>
    <t>3200034206 dated 08.03.2017</t>
  </si>
  <si>
    <r>
      <t xml:space="preserve">Cost savings reference to Jotirling engg works SS304 Tank Modification work proposal by developing alternative vendor </t>
    </r>
    <r>
      <rPr>
        <b/>
        <u/>
        <sz val="11"/>
        <color theme="1"/>
        <rFont val="Calibri"/>
        <family val="2"/>
        <scheme val="minor"/>
      </rPr>
      <t xml:space="preserve"> Punja Petrokem Engineering Ltd.</t>
    </r>
  </si>
  <si>
    <t>Punja Petrokem Engineering Ltd</t>
  </si>
  <si>
    <t xml:space="preserve">TUV -NORD came down to their realistic Rates from 1.9 lakhs per month Mandays &amp; per day 7500/-
To 1. 5 lakh &amp; 6000/- per day respectively, 
Only because of creating competition with TUV-SUD Inspection services
</t>
  </si>
  <si>
    <t>3200034928 dated 29.03.2017</t>
  </si>
  <si>
    <t>TUV-SUD</t>
  </si>
  <si>
    <t>Third Party Inspection for shut down for 03D3 Project at Taloja Plant.</t>
  </si>
  <si>
    <t>Cost Savings Reference Eagle Burgamnn ARC-16 Rates</t>
  </si>
  <si>
    <t>FY-16/17 Total Cost Savings In Lacs</t>
  </si>
  <si>
    <t>Against Target@21 Lacs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</si>
</sst>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 #,##0.00_ ;_ * \-#,##0.00_ ;_ * &quot;-&quot;??_ ;_ @_ "/>
    <numFmt numFmtId="164" formatCode="_(* #,##0.00_);_(* \(#,##0.00\);_(* &quot;-&quot;??_);_(@_)"/>
    <numFmt numFmtId="165" formatCode="0_);\(0\)"/>
    <numFmt numFmtId="166" formatCode="#,##0.000"/>
    <numFmt numFmtId="167" formatCode="0.0"/>
    <numFmt numFmtId="168" formatCode="_(* #,##0.00_);_(* \(#,##0.00\);_(* \-??_);_(@_)"/>
    <numFmt numFmtId="169" formatCode="_(* #,##0_);_(* \(#,##0\);_(* &quot;-&quot;??_);_(@_)"/>
    <numFmt numFmtId="170" formatCode="_(* #,##0_);_(* \(#,##0\);_(* \-??_);_(@_)"/>
    <numFmt numFmtId="171" formatCode="0.000"/>
    <numFmt numFmtId="172" formatCode="mm/dd/yyyy"/>
    <numFmt numFmtId="173" formatCode="0.0%"/>
  </numFmts>
  <fonts count="94">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0"/>
      <name val="Arial"/>
      <family val="2"/>
    </font>
    <font>
      <sz val="10"/>
      <name val="Times New Roman"/>
      <family val="1"/>
    </font>
    <font>
      <b/>
      <sz val="18"/>
      <name val="Times New Roman"/>
      <family val="1"/>
    </font>
    <font>
      <b/>
      <sz val="12"/>
      <name val="Times New Roman"/>
      <family val="1"/>
    </font>
    <font>
      <b/>
      <sz val="10"/>
      <color indexed="8"/>
      <name val="Times New Roman"/>
      <family val="1"/>
    </font>
    <font>
      <b/>
      <sz val="10"/>
      <name val="Times New Roman"/>
      <family val="1"/>
    </font>
    <font>
      <b/>
      <i/>
      <sz val="10"/>
      <name val="Taffy"/>
      <family val="1"/>
    </font>
    <font>
      <b/>
      <i/>
      <sz val="10"/>
      <color rgb="FFFF0000"/>
      <name val="Taffy"/>
      <family val="1"/>
    </font>
    <font>
      <b/>
      <u/>
      <sz val="12"/>
      <name val="Calibri"/>
      <family val="2"/>
    </font>
    <font>
      <sz val="10"/>
      <name val="Calibri"/>
      <family val="2"/>
      <scheme val="minor"/>
    </font>
    <font>
      <sz val="11"/>
      <color theme="1"/>
      <name val="Arial"/>
      <family val="2"/>
    </font>
    <font>
      <sz val="10"/>
      <name val="Taffy"/>
      <family val="1"/>
    </font>
    <font>
      <b/>
      <sz val="10"/>
      <color rgb="FFFF0000"/>
      <name val="Taffy"/>
      <family val="1"/>
    </font>
    <font>
      <b/>
      <sz val="10"/>
      <color rgb="FFFF0000"/>
      <name val="Times New Roman"/>
      <family val="1"/>
    </font>
    <font>
      <sz val="11"/>
      <color indexed="8"/>
      <name val="Calibri"/>
      <family val="2"/>
    </font>
    <font>
      <sz val="11"/>
      <color rgb="FF000000"/>
      <name val="Calibri"/>
      <family val="2"/>
    </font>
    <font>
      <sz val="11"/>
      <color rgb="FF000000"/>
      <name val="Arial"/>
      <family val="2"/>
    </font>
    <font>
      <sz val="10"/>
      <name val="Trebuchet MS"/>
      <family val="2"/>
    </font>
    <font>
      <sz val="10"/>
      <color rgb="FFFF0000"/>
      <name val="Times New Roman"/>
      <family val="1"/>
    </font>
    <font>
      <b/>
      <sz val="10"/>
      <name val="Arial"/>
      <family val="2"/>
    </font>
    <font>
      <sz val="11"/>
      <color theme="3"/>
      <name val="Calibri"/>
      <family val="2"/>
      <scheme val="minor"/>
    </font>
    <font>
      <sz val="10"/>
      <color theme="1"/>
      <name val="Verdana"/>
      <family val="2"/>
    </font>
    <font>
      <i/>
      <sz val="11"/>
      <name val="Times New Roman"/>
      <family val="1"/>
    </font>
    <font>
      <sz val="11"/>
      <color theme="1"/>
      <name val="Times New Roman"/>
      <family val="1"/>
    </font>
    <font>
      <b/>
      <sz val="10"/>
      <color rgb="FFFF0000"/>
      <name val="Arial"/>
      <family val="2"/>
    </font>
    <font>
      <sz val="10"/>
      <color rgb="FFFF0000"/>
      <name val="Taffy"/>
      <family val="1"/>
    </font>
    <font>
      <b/>
      <sz val="10"/>
      <color theme="1"/>
      <name val="Book Antiqua"/>
      <family val="1"/>
    </font>
    <font>
      <sz val="10"/>
      <color rgb="FFFF0000"/>
      <name val="Arial"/>
      <family val="2"/>
    </font>
    <font>
      <b/>
      <sz val="11"/>
      <color theme="1"/>
      <name val="Times New Roman"/>
      <family val="1"/>
    </font>
    <font>
      <b/>
      <sz val="10"/>
      <color rgb="FFFF0000"/>
      <name val="Book Antiqua"/>
      <family val="1"/>
    </font>
    <font>
      <i/>
      <sz val="11"/>
      <color rgb="FFFF0000"/>
      <name val="Times New Roman"/>
      <family val="1"/>
    </font>
    <font>
      <sz val="11"/>
      <color rgb="FFFF0000"/>
      <name val="Times New Roman"/>
      <family val="1"/>
    </font>
    <font>
      <sz val="11"/>
      <color rgb="FFFF0000"/>
      <name val="Arial"/>
      <family val="2"/>
    </font>
    <font>
      <sz val="12"/>
      <name val="Times New Roman"/>
      <family val="1"/>
    </font>
    <font>
      <sz val="11"/>
      <name val="Arial"/>
      <family val="2"/>
    </font>
    <font>
      <sz val="12"/>
      <color rgb="FFFF0000"/>
      <name val="Times New Roman"/>
      <family val="1"/>
    </font>
    <font>
      <b/>
      <sz val="14"/>
      <color rgb="FFFF0000"/>
      <name val="Times New Roman"/>
      <family val="1"/>
    </font>
    <font>
      <b/>
      <sz val="10"/>
      <color theme="7"/>
      <name val="Times New Roman"/>
      <family val="1"/>
    </font>
    <font>
      <sz val="10"/>
      <name val="Segoe UI"/>
      <family val="2"/>
    </font>
    <font>
      <b/>
      <sz val="12"/>
      <color rgb="FFC00000"/>
      <name val="Calibri"/>
      <family val="2"/>
      <scheme val="minor"/>
    </font>
    <font>
      <b/>
      <sz val="11"/>
      <color rgb="FFFF0000"/>
      <name val="Calibri"/>
      <family val="2"/>
      <scheme val="minor"/>
    </font>
    <font>
      <b/>
      <sz val="11"/>
      <color rgb="FF000000"/>
      <name val="Calibri"/>
      <family val="2"/>
    </font>
    <font>
      <sz val="11"/>
      <color rgb="FFFF0000"/>
      <name val="Calibri"/>
      <family val="2"/>
    </font>
    <font>
      <sz val="11"/>
      <name val="Calibri"/>
      <family val="2"/>
      <scheme val="minor"/>
    </font>
    <font>
      <b/>
      <sz val="12"/>
      <color theme="1"/>
      <name val="Cambria"/>
      <family val="1"/>
      <scheme val="major"/>
    </font>
    <font>
      <sz val="10"/>
      <color theme="1"/>
      <name val="Times New Roman"/>
      <family val="1"/>
    </font>
    <font>
      <sz val="11"/>
      <color theme="4"/>
      <name val="Calibri"/>
      <family val="2"/>
      <scheme val="minor"/>
    </font>
    <font>
      <sz val="10"/>
      <name val="Calibri"/>
      <family val="2"/>
    </font>
    <font>
      <sz val="11"/>
      <color rgb="FF00B0F0"/>
      <name val="Calibri"/>
      <family val="2"/>
      <scheme val="minor"/>
    </font>
    <font>
      <sz val="10"/>
      <name val="Arial"/>
      <family val="2"/>
    </font>
    <font>
      <b/>
      <sz val="9"/>
      <color indexed="81"/>
      <name val="Tahoma"/>
      <family val="2"/>
    </font>
    <font>
      <sz val="9"/>
      <color indexed="81"/>
      <name val="Tahoma"/>
      <family val="2"/>
    </font>
    <font>
      <b/>
      <sz val="9"/>
      <color theme="1"/>
      <name val="Arial"/>
      <family val="2"/>
    </font>
    <font>
      <b/>
      <sz val="10"/>
      <color theme="3"/>
      <name val="Times New Roman"/>
      <family val="1"/>
    </font>
    <font>
      <b/>
      <u/>
      <sz val="12"/>
      <color rgb="FFFF0000"/>
      <name val="Calibri"/>
      <family val="2"/>
    </font>
    <font>
      <b/>
      <u/>
      <sz val="12"/>
      <color rgb="FF00B050"/>
      <name val="Calibri"/>
      <family val="2"/>
    </font>
    <font>
      <b/>
      <sz val="9"/>
      <color rgb="FFFF0000"/>
      <name val="Arial"/>
      <family val="2"/>
    </font>
    <font>
      <sz val="11"/>
      <color rgb="FF00B050"/>
      <name val="Calibri"/>
      <family val="2"/>
    </font>
    <font>
      <b/>
      <sz val="11"/>
      <color theme="1"/>
      <name val="Calibri"/>
      <family val="2"/>
    </font>
    <font>
      <sz val="10"/>
      <color rgb="FF000000"/>
      <name val="Segoe UI"/>
      <family val="2"/>
    </font>
    <font>
      <sz val="11"/>
      <color theme="3" tint="0.39997558519241921"/>
      <name val="Calibri"/>
      <family val="2"/>
      <scheme val="minor"/>
    </font>
    <font>
      <b/>
      <sz val="12"/>
      <color rgb="FF000000"/>
      <name val="Calibri"/>
      <family val="2"/>
    </font>
    <font>
      <sz val="12"/>
      <color rgb="FF000000"/>
      <name val="Calibri"/>
      <family val="2"/>
    </font>
    <font>
      <sz val="12"/>
      <color rgb="FF00B050"/>
      <name val="Calibri"/>
      <family val="2"/>
    </font>
    <font>
      <b/>
      <sz val="12"/>
      <color rgb="FF00B050"/>
      <name val="Calibri"/>
      <family val="2"/>
    </font>
    <font>
      <sz val="11"/>
      <color rgb="FF000000"/>
      <name val="Times New Roman"/>
      <family val="1"/>
    </font>
    <font>
      <b/>
      <sz val="11"/>
      <color rgb="FF1F497D"/>
      <name val="Bookman Old Style"/>
      <family val="1"/>
    </font>
    <font>
      <sz val="11"/>
      <color rgb="FF00B050"/>
      <name val="Calibri"/>
      <family val="2"/>
      <scheme val="minor"/>
    </font>
    <font>
      <sz val="10"/>
      <name val="Arial"/>
      <family val="2"/>
    </font>
    <font>
      <sz val="12"/>
      <color rgb="FF000000"/>
      <name val="Times New Roman"/>
      <family val="1"/>
    </font>
    <font>
      <sz val="11"/>
      <color rgb="FF0070C0"/>
      <name val="Calibri"/>
      <family val="2"/>
      <scheme val="minor"/>
    </font>
    <font>
      <sz val="11"/>
      <color theme="1"/>
      <name val="Book Antiqua"/>
      <family val="1"/>
    </font>
    <font>
      <b/>
      <sz val="11"/>
      <color rgb="FF0070C0"/>
      <name val="Calibri"/>
      <family val="2"/>
      <scheme val="minor"/>
    </font>
    <font>
      <b/>
      <sz val="11"/>
      <color rgb="FF00B050"/>
      <name val="Calibri"/>
      <family val="2"/>
      <scheme val="minor"/>
    </font>
    <font>
      <sz val="11"/>
      <color rgb="FF000000"/>
      <name val="Calibri"/>
      <family val="2"/>
      <scheme val="minor"/>
    </font>
    <font>
      <b/>
      <i/>
      <sz val="10"/>
      <name val="Times New Roman"/>
      <family val="1"/>
    </font>
    <font>
      <b/>
      <i/>
      <sz val="10"/>
      <color rgb="FFFF0000"/>
      <name val="Times New Roman"/>
      <family val="1"/>
    </font>
    <font>
      <b/>
      <sz val="11"/>
      <color rgb="FF0070C0"/>
      <name val="Calibri"/>
      <family val="2"/>
    </font>
    <font>
      <sz val="11"/>
      <color rgb="FF0070C0"/>
      <name val="Calibri"/>
      <family val="2"/>
    </font>
    <font>
      <sz val="11"/>
      <color theme="1"/>
      <name val="Bookman Old Style"/>
      <family val="1"/>
    </font>
    <font>
      <b/>
      <sz val="11"/>
      <color theme="1"/>
      <name val="Bookman Old Style"/>
      <family val="1"/>
    </font>
    <font>
      <sz val="11"/>
      <color rgb="FF002060"/>
      <name val="Calibri"/>
      <family val="2"/>
    </font>
    <font>
      <b/>
      <sz val="11"/>
      <color rgb="FF002060"/>
      <name val="Calibri"/>
      <family val="2"/>
    </font>
    <font>
      <b/>
      <sz val="10"/>
      <color rgb="FF002060"/>
      <name val="Times New Roman"/>
      <family val="1"/>
    </font>
    <font>
      <b/>
      <sz val="10"/>
      <color theme="1"/>
      <name val="Times New Roman"/>
      <family val="1"/>
    </font>
    <font>
      <sz val="11"/>
      <name val="Calibri"/>
      <family val="2"/>
    </font>
    <font>
      <b/>
      <sz val="11"/>
      <color rgb="FF0070C0"/>
      <name val="Bookman Old Style"/>
      <family val="1"/>
    </font>
    <font>
      <b/>
      <u/>
      <sz val="11"/>
      <color theme="1"/>
      <name val="Calibri"/>
      <family val="2"/>
      <scheme val="minor"/>
    </font>
    <font>
      <sz val="10"/>
      <color rgb="FF000000"/>
      <name val="Times New Roman"/>
      <family val="1"/>
    </font>
    <font>
      <sz val="12"/>
      <color rgb="FF002060"/>
      <name val="Times New Roman"/>
      <family val="1"/>
    </font>
  </fonts>
  <fills count="25">
    <fill>
      <patternFill patternType="none"/>
    </fill>
    <fill>
      <patternFill patternType="gray125"/>
    </fill>
    <fill>
      <patternFill patternType="solid">
        <fgColor rgb="FFFFFF0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41"/>
        <bgColor indexed="64"/>
      </patternFill>
    </fill>
    <fill>
      <patternFill patternType="solid">
        <fgColor theme="0"/>
        <bgColor indexed="64"/>
      </patternFill>
    </fill>
    <fill>
      <patternFill patternType="solid">
        <fgColor rgb="FFFFFFFF"/>
        <bgColor indexed="64"/>
      </patternFill>
    </fill>
    <fill>
      <patternFill patternType="solid">
        <fgColor indexed="43"/>
        <bgColor indexed="64"/>
      </patternFill>
    </fill>
    <fill>
      <patternFill patternType="solid">
        <fgColor rgb="FF92D050"/>
        <bgColor indexed="64"/>
      </patternFill>
    </fill>
    <fill>
      <patternFill patternType="solid">
        <fgColor theme="6" tint="0.79998168889431442"/>
        <bgColor indexed="64"/>
      </patternFill>
    </fill>
    <fill>
      <patternFill patternType="solid">
        <fgColor indexed="9"/>
        <bgColor indexed="64"/>
      </patternFill>
    </fill>
    <fill>
      <patternFill patternType="solid">
        <fgColor theme="5" tint="0.79998168889431442"/>
        <bgColor indexed="64"/>
      </patternFill>
    </fill>
    <fill>
      <patternFill patternType="solid">
        <fgColor theme="2"/>
        <bgColor indexed="64"/>
      </patternFill>
    </fill>
  </fills>
  <borders count="145">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diagonal/>
    </border>
    <border>
      <left/>
      <right style="medium">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64"/>
      </left>
      <right style="medium">
        <color indexed="8"/>
      </right>
      <top style="medium">
        <color indexed="64"/>
      </top>
      <bottom style="medium">
        <color indexed="8"/>
      </bottom>
      <diagonal/>
    </border>
    <border>
      <left style="medium">
        <color indexed="8"/>
      </left>
      <right style="medium">
        <color indexed="8"/>
      </right>
      <top style="medium">
        <color indexed="64"/>
      </top>
      <bottom style="medium">
        <color indexed="8"/>
      </bottom>
      <diagonal/>
    </border>
    <border>
      <left style="medium">
        <color indexed="8"/>
      </left>
      <right style="thin">
        <color indexed="64"/>
      </right>
      <top style="medium">
        <color indexed="64"/>
      </top>
      <bottom style="medium">
        <color indexed="8"/>
      </bottom>
      <diagonal/>
    </border>
    <border>
      <left style="medium">
        <color indexed="8"/>
      </left>
      <right style="medium">
        <color indexed="64"/>
      </right>
      <top style="medium">
        <color indexed="64"/>
      </top>
      <bottom style="medium">
        <color indexed="8"/>
      </bottom>
      <diagonal/>
    </border>
    <border>
      <left style="medium">
        <color indexed="64"/>
      </left>
      <right style="medium">
        <color indexed="64"/>
      </right>
      <top/>
      <bottom/>
      <diagonal/>
    </border>
    <border>
      <left style="medium">
        <color indexed="8"/>
      </left>
      <right/>
      <top/>
      <bottom/>
      <diagonal/>
    </border>
    <border>
      <left style="medium">
        <color indexed="8"/>
      </left>
      <right style="thin">
        <color indexed="64"/>
      </right>
      <top/>
      <bottom/>
      <diagonal/>
    </border>
    <border>
      <left style="medium">
        <color indexed="8"/>
      </left>
      <right style="medium">
        <color indexed="64"/>
      </right>
      <top/>
      <bottom/>
      <diagonal/>
    </border>
    <border>
      <left style="medium">
        <color indexed="8"/>
      </left>
      <right/>
      <top style="medium">
        <color indexed="8"/>
      </top>
      <bottom style="medium">
        <color indexed="64"/>
      </bottom>
      <diagonal/>
    </border>
    <border>
      <left/>
      <right style="medium">
        <color indexed="8"/>
      </right>
      <top style="medium">
        <color indexed="8"/>
      </top>
      <bottom style="medium">
        <color indexed="64"/>
      </bottom>
      <diagonal/>
    </border>
    <border>
      <left style="medium">
        <color indexed="8"/>
      </left>
      <right style="thin">
        <color indexed="8"/>
      </right>
      <top style="medium">
        <color indexed="8"/>
      </top>
      <bottom style="medium">
        <color indexed="8"/>
      </bottom>
      <diagonal/>
    </border>
    <border>
      <left style="medium">
        <color indexed="64"/>
      </left>
      <right style="thin">
        <color indexed="8"/>
      </right>
      <top style="medium">
        <color indexed="8"/>
      </top>
      <bottom style="medium">
        <color indexed="64"/>
      </bottom>
      <diagonal/>
    </border>
    <border>
      <left style="medium">
        <color indexed="8"/>
      </left>
      <right style="thin">
        <color indexed="8"/>
      </right>
      <top style="medium">
        <color indexed="8"/>
      </top>
      <bottom style="medium">
        <color indexed="64"/>
      </bottom>
      <diagonal/>
    </border>
    <border>
      <left style="medium">
        <color indexed="8"/>
      </left>
      <right style="thin">
        <color indexed="64"/>
      </right>
      <top style="medium">
        <color indexed="8"/>
      </top>
      <bottom style="medium">
        <color indexed="64"/>
      </bottom>
      <diagonal/>
    </border>
    <border>
      <left style="medium">
        <color indexed="8"/>
      </left>
      <right style="medium">
        <color indexed="64"/>
      </right>
      <top style="medium">
        <color indexed="8"/>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medium">
        <color indexed="64"/>
      </left>
      <right style="medium">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style="hair">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8"/>
      </right>
      <top style="medium">
        <color indexed="64"/>
      </top>
      <bottom style="medium">
        <color indexed="64"/>
      </bottom>
      <diagonal/>
    </border>
    <border>
      <left style="medium">
        <color indexed="8"/>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medium">
        <color indexed="8"/>
      </right>
      <top style="medium">
        <color indexed="64"/>
      </top>
      <bottom/>
      <diagonal/>
    </border>
    <border>
      <left style="medium">
        <color indexed="8"/>
      </left>
      <right style="thin">
        <color indexed="64"/>
      </right>
      <top style="medium">
        <color indexed="64"/>
      </top>
      <bottom/>
      <diagonal/>
    </border>
    <border>
      <left style="medium">
        <color indexed="8"/>
      </left>
      <right style="medium">
        <color indexed="64"/>
      </right>
      <top style="medium">
        <color indexed="64"/>
      </top>
      <bottom/>
      <diagonal/>
    </border>
    <border>
      <left style="medium">
        <color indexed="8"/>
      </left>
      <right style="medium">
        <color indexed="64"/>
      </right>
      <top/>
      <bottom style="medium">
        <color indexed="64"/>
      </bottom>
      <diagonal/>
    </border>
    <border>
      <left/>
      <right/>
      <top style="medium">
        <color indexed="8"/>
      </top>
      <bottom style="medium">
        <color indexed="64"/>
      </bottom>
      <diagonal/>
    </border>
    <border>
      <left style="medium">
        <color indexed="64"/>
      </left>
      <right style="thin">
        <color indexed="8"/>
      </right>
      <top style="medium">
        <color indexed="8"/>
      </top>
      <bottom style="medium">
        <color indexed="8"/>
      </bottom>
      <diagonal/>
    </border>
    <border>
      <left style="medium">
        <color indexed="8"/>
      </left>
      <right style="medium">
        <color indexed="64"/>
      </right>
      <top style="medium">
        <color indexed="8"/>
      </top>
      <bottom style="medium">
        <color indexed="8"/>
      </bottom>
      <diagonal/>
    </border>
    <border>
      <left/>
      <right style="thin">
        <color indexed="8"/>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8"/>
      </left>
      <right/>
      <top style="medium">
        <color indexed="64"/>
      </top>
      <bottom style="medium">
        <color indexed="8"/>
      </bottom>
      <diagonal/>
    </border>
    <border>
      <left/>
      <right style="medium">
        <color indexed="64"/>
      </right>
      <top style="medium">
        <color indexed="64"/>
      </top>
      <bottom style="thin">
        <color indexed="64"/>
      </bottom>
      <diagonal/>
    </border>
    <border>
      <left/>
      <right/>
      <top style="medium">
        <color indexed="64"/>
      </top>
      <bottom style="medium">
        <color indexed="8"/>
      </bottom>
      <diagonal/>
    </border>
    <border>
      <left style="medium">
        <color indexed="64"/>
      </left>
      <right style="medium">
        <color indexed="8"/>
      </right>
      <top style="medium">
        <color indexed="64"/>
      </top>
      <bottom style="medium">
        <color indexed="64"/>
      </bottom>
      <diagonal/>
    </border>
    <border>
      <left style="medium">
        <color indexed="8"/>
      </left>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8"/>
      </top>
      <bottom style="medium">
        <color indexed="64"/>
      </bottom>
      <diagonal/>
    </border>
    <border>
      <left/>
      <right style="medium">
        <color indexed="64"/>
      </right>
      <top style="medium">
        <color indexed="8"/>
      </top>
      <bottom style="medium">
        <color indexed="64"/>
      </bottom>
      <diagonal/>
    </border>
    <border>
      <left/>
      <right style="medium">
        <color indexed="8"/>
      </right>
      <top style="medium">
        <color indexed="64"/>
      </top>
      <bottom style="medium">
        <color indexed="8"/>
      </bottom>
      <diagonal/>
    </border>
    <border>
      <left/>
      <right style="medium">
        <color indexed="8"/>
      </right>
      <top/>
      <bottom style="medium">
        <color indexed="64"/>
      </bottom>
      <diagonal/>
    </border>
    <border>
      <left/>
      <right style="medium">
        <color indexed="64"/>
      </right>
      <top style="medium">
        <color indexed="64"/>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right style="medium">
        <color indexed="8"/>
      </right>
      <top style="medium">
        <color indexed="8"/>
      </top>
      <bottom style="medium">
        <color indexed="8"/>
      </bottom>
      <diagonal/>
    </border>
    <border>
      <left/>
      <right style="medium">
        <color rgb="FF000000"/>
      </right>
      <top style="medium">
        <color indexed="64"/>
      </top>
      <bottom style="medium">
        <color indexed="64"/>
      </bottom>
      <diagonal/>
    </border>
    <border>
      <left/>
      <right style="thin">
        <color indexed="8"/>
      </right>
      <top style="medium">
        <color indexed="8"/>
      </top>
      <bottom/>
      <diagonal/>
    </border>
    <border>
      <left style="medium">
        <color indexed="64"/>
      </left>
      <right style="thin">
        <color indexed="8"/>
      </right>
      <top style="medium">
        <color indexed="64"/>
      </top>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right style="thin">
        <color indexed="8"/>
      </right>
      <top style="medium">
        <color indexed="8"/>
      </top>
      <bottom style="medium">
        <color indexed="8"/>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
      <left style="medium">
        <color indexed="64"/>
      </left>
      <right style="medium">
        <color indexed="64"/>
      </right>
      <top style="medium">
        <color rgb="FF000000"/>
      </top>
      <bottom/>
      <diagonal/>
    </border>
  </borders>
  <cellStyleXfs count="69">
    <xf numFmtId="0" fontId="0" fillId="0" borderId="0"/>
    <xf numFmtId="9" fontId="2" fillId="0" borderId="0" applyFont="0" applyFill="0" applyBorder="0" applyAlignment="0" applyProtection="0"/>
    <xf numFmtId="0" fontId="4" fillId="0" borderId="0"/>
    <xf numFmtId="164" fontId="4" fillId="0" borderId="0" applyFont="0" applyFill="0" applyBorder="0" applyAlignment="0" applyProtection="0"/>
    <xf numFmtId="0" fontId="2" fillId="0" borderId="0"/>
    <xf numFmtId="0" fontId="2" fillId="4" borderId="0" applyNumberFormat="0" applyBorder="0" applyAlignment="0" applyProtection="0"/>
    <xf numFmtId="0" fontId="2" fillId="6"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14" borderId="0" applyNumberFormat="0" applyBorder="0" applyAlignment="0" applyProtection="0"/>
    <xf numFmtId="0" fontId="2" fillId="5" borderId="0" applyNumberFormat="0" applyBorder="0" applyAlignment="0" applyProtection="0"/>
    <xf numFmtId="0" fontId="2" fillId="7"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13" borderId="0" applyNumberFormat="0" applyBorder="0" applyAlignment="0" applyProtection="0"/>
    <xf numFmtId="0" fontId="2" fillId="15" borderId="0" applyNumberFormat="0" applyBorder="0" applyAlignment="0" applyProtection="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wrapText="1"/>
    </xf>
    <xf numFmtId="0" fontId="18" fillId="0" borderId="0"/>
    <xf numFmtId="0" fontId="18"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3" borderId="2" applyNumberFormat="0" applyFont="0" applyAlignment="0" applyProtection="0"/>
    <xf numFmtId="0" fontId="2" fillId="3" borderId="2"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53" fillId="0" borderId="0"/>
    <xf numFmtId="0" fontId="4" fillId="0" borderId="0"/>
    <xf numFmtId="0" fontId="72" fillId="0" borderId="0"/>
  </cellStyleXfs>
  <cellXfs count="2008">
    <xf numFmtId="0" fontId="0" fillId="0" borderId="0" xfId="0"/>
    <xf numFmtId="0" fontId="1" fillId="0" borderId="0" xfId="0" applyFont="1" applyAlignment="1">
      <alignment horizontal="left"/>
    </xf>
    <xf numFmtId="0" fontId="1" fillId="0" borderId="0" xfId="0" applyFont="1"/>
    <xf numFmtId="0" fontId="0" fillId="0" borderId="0" xfId="0" applyFill="1"/>
    <xf numFmtId="3" fontId="0" fillId="0" borderId="0" xfId="0" applyNumberFormat="1"/>
    <xf numFmtId="17" fontId="0" fillId="0" borderId="0" xfId="0" applyNumberFormat="1"/>
    <xf numFmtId="0" fontId="0" fillId="0" borderId="1" xfId="0" applyFill="1" applyBorder="1"/>
    <xf numFmtId="0" fontId="5" fillId="0" borderId="0" xfId="2" applyFont="1" applyProtection="1"/>
    <xf numFmtId="0" fontId="5" fillId="0" borderId="0" xfId="2" applyFont="1" applyAlignment="1" applyProtection="1">
      <alignment wrapText="1"/>
    </xf>
    <xf numFmtId="0" fontId="5" fillId="0" borderId="0" xfId="2" applyFont="1" applyProtection="1">
      <protection locked="0"/>
    </xf>
    <xf numFmtId="0" fontId="8" fillId="16" borderId="6" xfId="2" applyFont="1" applyFill="1" applyBorder="1" applyAlignment="1" applyProtection="1">
      <alignment wrapText="1"/>
    </xf>
    <xf numFmtId="0" fontId="9" fillId="0" borderId="7" xfId="2" applyFont="1" applyFill="1" applyBorder="1" applyAlignment="1" applyProtection="1">
      <alignment horizontal="center" vertical="center" wrapText="1"/>
      <protection locked="0"/>
    </xf>
    <xf numFmtId="0" fontId="9" fillId="16" borderId="7" xfId="2" applyFont="1" applyFill="1" applyBorder="1" applyAlignment="1" applyProtection="1">
      <alignment wrapText="1"/>
    </xf>
    <xf numFmtId="0" fontId="9" fillId="0" borderId="7" xfId="2" applyNumberFormat="1" applyFont="1" applyFill="1" applyBorder="1" applyAlignment="1" applyProtection="1">
      <alignment horizontal="center" vertical="center" wrapText="1"/>
      <protection locked="0"/>
    </xf>
    <xf numFmtId="0" fontId="9" fillId="16" borderId="10" xfId="2" applyFont="1" applyFill="1" applyBorder="1" applyAlignment="1" applyProtection="1">
      <alignment wrapText="1"/>
    </xf>
    <xf numFmtId="165" fontId="9" fillId="0" borderId="10" xfId="3" applyNumberFormat="1" applyFont="1" applyFill="1" applyBorder="1" applyAlignment="1" applyProtection="1">
      <alignment horizontal="center" vertical="center" wrapText="1"/>
      <protection locked="0"/>
    </xf>
    <xf numFmtId="0" fontId="9" fillId="16" borderId="10" xfId="2" applyFont="1" applyFill="1" applyBorder="1" applyAlignment="1" applyProtection="1">
      <alignment horizontal="center" vertical="center" wrapText="1"/>
    </xf>
    <xf numFmtId="0" fontId="9" fillId="0" borderId="10" xfId="2" applyFont="1" applyFill="1" applyBorder="1" applyAlignment="1" applyProtection="1">
      <alignment horizontal="center" vertical="center" wrapText="1"/>
      <protection locked="0"/>
    </xf>
    <xf numFmtId="0" fontId="9" fillId="16" borderId="10" xfId="2" applyFont="1" applyFill="1" applyBorder="1" applyAlignment="1" applyProtection="1">
      <alignment horizontal="right" wrapText="1"/>
    </xf>
    <xf numFmtId="0" fontId="9" fillId="16" borderId="11" xfId="2" applyFont="1" applyFill="1" applyBorder="1" applyAlignment="1" applyProtection="1">
      <alignment wrapText="1"/>
    </xf>
    <xf numFmtId="0" fontId="5" fillId="0" borderId="12" xfId="2" applyFont="1" applyFill="1" applyBorder="1" applyAlignment="1" applyProtection="1">
      <alignment horizontal="center" vertical="center" wrapText="1"/>
      <protection locked="0"/>
    </xf>
    <xf numFmtId="0" fontId="9" fillId="16" borderId="12" xfId="2" applyFont="1" applyFill="1" applyBorder="1" applyAlignment="1" applyProtection="1">
      <alignment wrapText="1"/>
    </xf>
    <xf numFmtId="0" fontId="9" fillId="0" borderId="12" xfId="2" applyFont="1" applyFill="1" applyBorder="1" applyAlignment="1" applyProtection="1">
      <alignment horizontal="center" vertical="center" wrapText="1"/>
      <protection locked="0"/>
    </xf>
    <xf numFmtId="0" fontId="9" fillId="16" borderId="16" xfId="2" applyFont="1" applyFill="1" applyBorder="1" applyAlignment="1" applyProtection="1">
      <alignment wrapText="1"/>
    </xf>
    <xf numFmtId="0" fontId="9" fillId="16" borderId="16" xfId="2" applyFont="1" applyFill="1" applyBorder="1" applyAlignment="1" applyProtection="1">
      <alignment horizontal="right" wrapText="1"/>
    </xf>
    <xf numFmtId="0" fontId="9" fillId="0" borderId="16" xfId="2" applyFont="1" applyFill="1" applyBorder="1" applyAlignment="1" applyProtection="1">
      <alignment horizontal="center" vertical="center" wrapText="1"/>
      <protection locked="0"/>
    </xf>
    <xf numFmtId="0" fontId="9" fillId="0" borderId="17" xfId="2" applyFont="1" applyBorder="1" applyProtection="1"/>
    <xf numFmtId="0" fontId="9" fillId="0" borderId="0" xfId="2" applyFont="1" applyBorder="1" applyAlignment="1" applyProtection="1">
      <alignment wrapText="1"/>
      <protection locked="0"/>
    </xf>
    <xf numFmtId="0" fontId="9" fillId="0" borderId="0" xfId="2" applyFont="1" applyBorder="1" applyProtection="1">
      <protection locked="0"/>
    </xf>
    <xf numFmtId="1" fontId="9" fillId="0" borderId="0" xfId="3" applyNumberFormat="1" applyFont="1" applyBorder="1" applyAlignment="1" applyProtection="1">
      <alignment horizontal="right"/>
    </xf>
    <xf numFmtId="2" fontId="9" fillId="0" borderId="0" xfId="2" applyNumberFormat="1" applyFont="1" applyBorder="1" applyProtection="1"/>
    <xf numFmtId="2" fontId="9" fillId="0" borderId="0" xfId="2" applyNumberFormat="1" applyFont="1" applyBorder="1" applyProtection="1">
      <protection locked="0"/>
    </xf>
    <xf numFmtId="0" fontId="9" fillId="16" borderId="4" xfId="2" applyFont="1" applyFill="1" applyBorder="1" applyAlignment="1" applyProtection="1">
      <alignment horizontal="center"/>
    </xf>
    <xf numFmtId="0" fontId="9" fillId="16" borderId="5" xfId="2" applyFont="1" applyFill="1" applyBorder="1" applyAlignment="1" applyProtection="1">
      <alignment horizontal="center"/>
    </xf>
    <xf numFmtId="0" fontId="9" fillId="16" borderId="38" xfId="2" applyFont="1" applyFill="1" applyBorder="1" applyAlignment="1" applyProtection="1">
      <alignment horizontal="center"/>
    </xf>
    <xf numFmtId="0" fontId="9" fillId="16" borderId="39" xfId="2" applyFont="1" applyFill="1" applyBorder="1" applyAlignment="1" applyProtection="1">
      <alignment horizontal="center"/>
    </xf>
    <xf numFmtId="0" fontId="9" fillId="16" borderId="40" xfId="2" applyFont="1" applyFill="1" applyBorder="1" applyAlignment="1" applyProtection="1">
      <alignment horizontal="center"/>
    </xf>
    <xf numFmtId="0" fontId="9" fillId="16" borderId="41" xfId="2" applyFont="1" applyFill="1" applyBorder="1" applyAlignment="1" applyProtection="1">
      <alignment horizontal="center"/>
    </xf>
    <xf numFmtId="0" fontId="9" fillId="16" borderId="42" xfId="2" applyFont="1" applyFill="1" applyBorder="1" applyAlignment="1" applyProtection="1">
      <alignment horizontal="center"/>
    </xf>
    <xf numFmtId="0" fontId="9" fillId="16" borderId="15" xfId="2" applyFont="1" applyFill="1" applyBorder="1" applyAlignment="1" applyProtection="1">
      <alignment horizontal="center"/>
    </xf>
    <xf numFmtId="0" fontId="5" fillId="0" borderId="43" xfId="2" applyFont="1" applyBorder="1" applyAlignment="1" applyProtection="1">
      <alignment horizontal="center" vertical="center" wrapText="1"/>
      <protection locked="0"/>
    </xf>
    <xf numFmtId="0" fontId="12" fillId="0" borderId="44" xfId="2" applyFont="1" applyBorder="1" applyAlignment="1">
      <alignment wrapText="1"/>
    </xf>
    <xf numFmtId="0" fontId="5" fillId="0" borderId="43" xfId="2" applyFont="1" applyBorder="1" applyAlignment="1" applyProtection="1">
      <alignment vertical="center" wrapText="1"/>
      <protection locked="0"/>
    </xf>
    <xf numFmtId="0" fontId="5" fillId="0" borderId="45" xfId="2" applyFont="1" applyBorder="1" applyAlignment="1" applyProtection="1">
      <alignment horizontal="left" vertical="center" wrapText="1"/>
      <protection locked="0"/>
    </xf>
    <xf numFmtId="0" fontId="5" fillId="0" borderId="46" xfId="2" applyFont="1" applyBorder="1" applyAlignment="1" applyProtection="1">
      <alignment vertical="center" wrapText="1"/>
      <protection locked="0"/>
    </xf>
    <xf numFmtId="164" fontId="5" fillId="0" borderId="20" xfId="2" applyNumberFormat="1" applyFont="1" applyBorder="1" applyAlignment="1" applyProtection="1">
      <alignment vertical="center" wrapText="1"/>
      <protection locked="0"/>
    </xf>
    <xf numFmtId="0" fontId="5" fillId="0" borderId="20" xfId="2" applyFont="1" applyBorder="1" applyAlignment="1" applyProtection="1">
      <alignment vertical="center" wrapText="1"/>
      <protection locked="0"/>
    </xf>
    <xf numFmtId="0" fontId="5" fillId="0" borderId="47" xfId="2" applyFont="1" applyBorder="1" applyAlignment="1" applyProtection="1">
      <alignment vertical="center" wrapText="1"/>
      <protection locked="0"/>
    </xf>
    <xf numFmtId="0" fontId="5" fillId="0" borderId="44" xfId="2" applyFont="1" applyBorder="1" applyAlignment="1" applyProtection="1">
      <alignment vertical="center" wrapText="1"/>
      <protection locked="0"/>
    </xf>
    <xf numFmtId="0" fontId="5" fillId="0" borderId="45" xfId="2" applyFont="1" applyBorder="1" applyAlignment="1" applyProtection="1">
      <alignment vertical="center" wrapText="1"/>
      <protection locked="0"/>
    </xf>
    <xf numFmtId="0" fontId="5" fillId="0" borderId="48" xfId="2" applyFont="1" applyBorder="1" applyAlignment="1" applyProtection="1">
      <alignment horizontal="center" vertical="center" wrapText="1"/>
      <protection locked="0"/>
    </xf>
    <xf numFmtId="0" fontId="13" fillId="0" borderId="1" xfId="2" applyFont="1" applyBorder="1" applyAlignment="1">
      <alignment horizontal="center" vertical="center" wrapText="1"/>
    </xf>
    <xf numFmtId="166" fontId="4" fillId="0" borderId="48" xfId="2" applyNumberFormat="1" applyFill="1" applyBorder="1"/>
    <xf numFmtId="0" fontId="4" fillId="0" borderId="1" xfId="2" applyBorder="1" applyAlignment="1">
      <alignment horizontal="center"/>
    </xf>
    <xf numFmtId="2" fontId="4" fillId="0" borderId="1" xfId="2" applyNumberFormat="1" applyBorder="1" applyAlignment="1">
      <alignment horizontal="center" vertical="center"/>
    </xf>
    <xf numFmtId="1" fontId="2" fillId="0" borderId="49" xfId="4" applyNumberFormat="1" applyBorder="1"/>
    <xf numFmtId="167" fontId="2" fillId="0" borderId="50" xfId="4" applyNumberFormat="1" applyBorder="1"/>
    <xf numFmtId="167" fontId="2" fillId="0" borderId="51" xfId="4" applyNumberFormat="1" applyBorder="1"/>
    <xf numFmtId="0" fontId="14" fillId="0" borderId="48" xfId="2" applyFont="1" applyBorder="1" applyAlignment="1">
      <alignment vertical="center"/>
    </xf>
    <xf numFmtId="168" fontId="15" fillId="17" borderId="50" xfId="3" applyNumberFormat="1" applyFont="1" applyFill="1" applyBorder="1" applyAlignment="1" applyProtection="1">
      <alignment vertical="center" wrapText="1"/>
      <protection locked="0"/>
    </xf>
    <xf numFmtId="168" fontId="15" fillId="17" borderId="1" xfId="3" applyNumberFormat="1" applyFont="1" applyFill="1" applyBorder="1" applyAlignment="1" applyProtection="1">
      <alignment vertical="center" wrapText="1"/>
      <protection locked="0"/>
    </xf>
    <xf numFmtId="168" fontId="15" fillId="0" borderId="1" xfId="3" applyNumberFormat="1" applyFont="1" applyFill="1" applyBorder="1" applyAlignment="1" applyProtection="1">
      <alignment vertical="center" wrapText="1"/>
      <protection locked="0"/>
    </xf>
    <xf numFmtId="168" fontId="15" fillId="0" borderId="49" xfId="3" applyNumberFormat="1" applyFont="1" applyFill="1" applyBorder="1" applyAlignment="1" applyProtection="1">
      <alignment vertical="center" wrapText="1"/>
      <protection locked="0"/>
    </xf>
    <xf numFmtId="0" fontId="13" fillId="0" borderId="1" xfId="2" applyFont="1" applyFill="1" applyBorder="1" applyAlignment="1">
      <alignment horizontal="center" vertical="center" wrapText="1"/>
    </xf>
    <xf numFmtId="0" fontId="4" fillId="0" borderId="1" xfId="2" applyFont="1" applyBorder="1" applyAlignment="1">
      <alignment horizontal="center"/>
    </xf>
    <xf numFmtId="167" fontId="2" fillId="0" borderId="50" xfId="4" applyNumberFormat="1" applyFont="1" applyBorder="1" applyAlignment="1">
      <alignment horizontal="center"/>
    </xf>
    <xf numFmtId="0" fontId="2" fillId="0" borderId="51" xfId="4" applyFont="1" applyBorder="1" applyAlignment="1">
      <alignment wrapText="1"/>
    </xf>
    <xf numFmtId="0" fontId="2" fillId="0" borderId="49" xfId="4" applyBorder="1"/>
    <xf numFmtId="0" fontId="2" fillId="0" borderId="50" xfId="4" applyBorder="1"/>
    <xf numFmtId="0" fontId="2" fillId="0" borderId="51" xfId="4" applyBorder="1"/>
    <xf numFmtId="0" fontId="5" fillId="0" borderId="48" xfId="2" applyFont="1" applyBorder="1" applyProtection="1">
      <protection locked="0"/>
    </xf>
    <xf numFmtId="169" fontId="15" fillId="17" borderId="49" xfId="3" applyNumberFormat="1" applyFont="1" applyFill="1" applyBorder="1" applyAlignment="1" applyProtection="1">
      <alignment vertical="center" wrapText="1"/>
      <protection locked="0"/>
    </xf>
    <xf numFmtId="0" fontId="5" fillId="0" borderId="50" xfId="2" applyFont="1" applyBorder="1" applyAlignment="1" applyProtection="1">
      <alignment horizontal="center"/>
      <protection locked="0"/>
    </xf>
    <xf numFmtId="0" fontId="5" fillId="0" borderId="49" xfId="2" applyFont="1" applyBorder="1" applyAlignment="1" applyProtection="1">
      <alignment horizontal="center"/>
      <protection locked="0"/>
    </xf>
    <xf numFmtId="0" fontId="2" fillId="0" borderId="50" xfId="4" applyFont="1" applyBorder="1" applyAlignment="1">
      <alignment horizontal="center"/>
    </xf>
    <xf numFmtId="170" fontId="16" fillId="0" borderId="51" xfId="3" applyNumberFormat="1" applyFont="1" applyFill="1" applyBorder="1" applyAlignment="1" applyProtection="1">
      <alignment vertical="center" wrapText="1"/>
      <protection locked="0"/>
    </xf>
    <xf numFmtId="168" fontId="15" fillId="17" borderId="48" xfId="3" applyNumberFormat="1" applyFont="1" applyFill="1" applyBorder="1" applyAlignment="1" applyProtection="1">
      <alignment vertical="center" wrapText="1"/>
      <protection locked="0"/>
    </xf>
    <xf numFmtId="0" fontId="5" fillId="0" borderId="52" xfId="2" applyFont="1" applyBorder="1" applyAlignment="1" applyProtection="1">
      <alignment horizontal="center" vertical="center" wrapText="1"/>
      <protection locked="0"/>
    </xf>
    <xf numFmtId="0" fontId="5" fillId="0" borderId="53" xfId="2" applyFont="1" applyBorder="1" applyAlignment="1" applyProtection="1">
      <alignment horizontal="left" vertical="center" wrapText="1"/>
      <protection locked="0"/>
    </xf>
    <xf numFmtId="0" fontId="5" fillId="0" borderId="52" xfId="2" applyFont="1" applyBorder="1" applyAlignment="1" applyProtection="1">
      <alignment vertical="center" wrapText="1"/>
      <protection locked="0"/>
    </xf>
    <xf numFmtId="0" fontId="5" fillId="0" borderId="54" xfId="2" applyFont="1" applyBorder="1" applyAlignment="1" applyProtection="1">
      <alignment horizontal="center" vertical="center" wrapText="1"/>
      <protection locked="0"/>
    </xf>
    <xf numFmtId="0" fontId="5" fillId="0" borderId="16" xfId="2" applyFont="1" applyBorder="1" applyAlignment="1" applyProtection="1">
      <alignment horizontal="center" vertical="center" wrapText="1"/>
      <protection locked="0"/>
    </xf>
    <xf numFmtId="4" fontId="5" fillId="0" borderId="55" xfId="2" applyNumberFormat="1" applyFont="1" applyBorder="1" applyAlignment="1" applyProtection="1">
      <alignment horizontal="center" vertical="center" wrapText="1"/>
      <protection locked="0"/>
    </xf>
    <xf numFmtId="0" fontId="9" fillId="0" borderId="16" xfId="2" applyFont="1" applyBorder="1" applyAlignment="1" applyProtection="1">
      <alignment horizontal="center" vertical="center" wrapText="1"/>
      <protection locked="0"/>
    </xf>
    <xf numFmtId="0" fontId="5" fillId="0" borderId="55" xfId="2" applyFont="1" applyBorder="1" applyAlignment="1" applyProtection="1">
      <alignment horizontal="center" vertical="center" wrapText="1"/>
      <protection locked="0"/>
    </xf>
    <xf numFmtId="0" fontId="9" fillId="0" borderId="53" xfId="2" applyFont="1" applyBorder="1" applyAlignment="1" applyProtection="1">
      <alignment horizontal="center" vertical="center" wrapText="1"/>
      <protection locked="0"/>
    </xf>
    <xf numFmtId="0" fontId="5" fillId="0" borderId="16" xfId="2" applyNumberFormat="1" applyFont="1" applyBorder="1" applyAlignment="1" applyProtection="1">
      <alignment horizontal="center" vertical="center" wrapText="1"/>
      <protection locked="0"/>
    </xf>
    <xf numFmtId="4" fontId="5" fillId="0" borderId="55" xfId="2" applyNumberFormat="1" applyFont="1" applyBorder="1" applyAlignment="1" applyProtection="1">
      <alignment vertical="center" wrapText="1"/>
      <protection locked="0"/>
    </xf>
    <xf numFmtId="4" fontId="5" fillId="0" borderId="54" xfId="2" applyNumberFormat="1" applyFont="1" applyBorder="1" applyAlignment="1" applyProtection="1">
      <alignment vertical="center" wrapText="1"/>
      <protection locked="0"/>
    </xf>
    <xf numFmtId="4" fontId="5" fillId="0" borderId="16" xfId="2" applyNumberFormat="1" applyFont="1" applyBorder="1" applyAlignment="1" applyProtection="1">
      <alignment vertical="center" wrapText="1"/>
      <protection locked="0"/>
    </xf>
    <xf numFmtId="0" fontId="5" fillId="16" borderId="56" xfId="2" applyFont="1" applyFill="1" applyBorder="1" applyAlignment="1" applyProtection="1">
      <alignment horizontal="left"/>
    </xf>
    <xf numFmtId="0" fontId="5" fillId="16" borderId="15" xfId="2" applyFont="1" applyFill="1" applyBorder="1" applyAlignment="1" applyProtection="1">
      <alignment horizontal="left"/>
    </xf>
    <xf numFmtId="0" fontId="5" fillId="16" borderId="57" xfId="2" applyFont="1" applyFill="1" applyBorder="1" applyProtection="1"/>
    <xf numFmtId="0" fontId="5" fillId="16" borderId="15" xfId="2" applyFont="1" applyFill="1" applyBorder="1" applyProtection="1"/>
    <xf numFmtId="1" fontId="9" fillId="16" borderId="15" xfId="3" applyNumberFormat="1" applyFont="1" applyFill="1" applyBorder="1" applyAlignment="1" applyProtection="1">
      <alignment horizontal="center"/>
    </xf>
    <xf numFmtId="164" fontId="9" fillId="16" borderId="57" xfId="3" applyFont="1" applyFill="1" applyBorder="1" applyAlignment="1" applyProtection="1">
      <alignment horizontal="center"/>
    </xf>
    <xf numFmtId="164" fontId="17" fillId="16" borderId="57" xfId="3" applyFont="1" applyFill="1" applyBorder="1" applyAlignment="1" applyProtection="1">
      <alignment horizontal="center"/>
    </xf>
    <xf numFmtId="0" fontId="5" fillId="16" borderId="59" xfId="2" applyFont="1" applyFill="1" applyBorder="1" applyProtection="1"/>
    <xf numFmtId="1" fontId="5" fillId="16" borderId="60" xfId="3" applyNumberFormat="1" applyFont="1" applyFill="1" applyBorder="1" applyAlignment="1" applyProtection="1">
      <alignment horizontal="right"/>
    </xf>
    <xf numFmtId="164" fontId="5" fillId="0" borderId="61" xfId="3" applyFont="1" applyFill="1" applyBorder="1" applyAlignment="1" applyProtection="1">
      <alignment horizontal="right"/>
      <protection locked="0"/>
    </xf>
    <xf numFmtId="164" fontId="5" fillId="0" borderId="62" xfId="3" applyFont="1" applyFill="1" applyBorder="1" applyAlignment="1" applyProtection="1">
      <alignment horizontal="right"/>
      <protection locked="0"/>
    </xf>
    <xf numFmtId="164" fontId="5" fillId="0" borderId="63" xfId="3" applyFont="1" applyFill="1" applyBorder="1" applyAlignment="1" applyProtection="1">
      <alignment horizontal="right"/>
      <protection locked="0"/>
    </xf>
    <xf numFmtId="0" fontId="5" fillId="16" borderId="64" xfId="2" applyFont="1" applyFill="1" applyBorder="1" applyAlignment="1" applyProtection="1">
      <alignment horizontal="left"/>
    </xf>
    <xf numFmtId="0" fontId="5" fillId="16" borderId="65" xfId="2" applyFont="1" applyFill="1" applyBorder="1" applyAlignment="1" applyProtection="1">
      <alignment horizontal="left"/>
    </xf>
    <xf numFmtId="164" fontId="5" fillId="0" borderId="66" xfId="3" applyFont="1" applyFill="1" applyBorder="1" applyAlignment="1" applyProtection="1">
      <alignment horizontal="right"/>
      <protection locked="0"/>
    </xf>
    <xf numFmtId="164" fontId="5" fillId="0" borderId="67" xfId="3" applyFont="1" applyFill="1" applyBorder="1" applyAlignment="1" applyProtection="1">
      <alignment horizontal="right"/>
      <protection locked="0"/>
    </xf>
    <xf numFmtId="164" fontId="5" fillId="0" borderId="68" xfId="3" applyFont="1" applyFill="1" applyBorder="1" applyAlignment="1" applyProtection="1">
      <alignment horizontal="right"/>
      <protection locked="0"/>
    </xf>
    <xf numFmtId="0" fontId="5" fillId="16" borderId="64" xfId="2" applyFont="1" applyFill="1" applyBorder="1" applyAlignment="1" applyProtection="1"/>
    <xf numFmtId="0" fontId="5" fillId="16" borderId="65" xfId="2" applyFont="1" applyFill="1" applyBorder="1" applyAlignment="1" applyProtection="1"/>
    <xf numFmtId="0" fontId="5" fillId="16" borderId="69" xfId="2" applyFont="1" applyFill="1" applyBorder="1" applyAlignment="1" applyProtection="1"/>
    <xf numFmtId="10" fontId="9" fillId="0" borderId="66" xfId="2" applyNumberFormat="1" applyFont="1" applyFill="1" applyBorder="1" applyAlignment="1" applyProtection="1">
      <alignment horizontal="right"/>
      <protection locked="0"/>
    </xf>
    <xf numFmtId="0" fontId="5" fillId="16" borderId="65" xfId="2" applyFont="1" applyFill="1" applyBorder="1" applyProtection="1"/>
    <xf numFmtId="10" fontId="5" fillId="16" borderId="69" xfId="2" applyNumberFormat="1" applyFont="1" applyFill="1" applyBorder="1" applyProtection="1"/>
    <xf numFmtId="164" fontId="5" fillId="16" borderId="66" xfId="3" applyFont="1" applyFill="1" applyBorder="1" applyAlignment="1" applyProtection="1">
      <alignment horizontal="right"/>
    </xf>
    <xf numFmtId="164" fontId="5" fillId="16" borderId="67" xfId="3" applyFont="1" applyFill="1" applyBorder="1" applyAlignment="1" applyProtection="1">
      <alignment horizontal="right"/>
    </xf>
    <xf numFmtId="164" fontId="5" fillId="16" borderId="68" xfId="3" applyFont="1" applyFill="1" applyBorder="1" applyAlignment="1" applyProtection="1">
      <alignment horizontal="right"/>
    </xf>
    <xf numFmtId="9" fontId="5" fillId="16" borderId="65" xfId="2" applyNumberFormat="1" applyFont="1" applyFill="1" applyBorder="1" applyProtection="1"/>
    <xf numFmtId="9" fontId="5" fillId="16" borderId="69" xfId="2" applyNumberFormat="1" applyFont="1" applyFill="1" applyBorder="1" applyProtection="1"/>
    <xf numFmtId="10" fontId="9" fillId="0" borderId="66" xfId="3" applyNumberFormat="1" applyFont="1" applyFill="1" applyBorder="1" applyAlignment="1" applyProtection="1">
      <alignment horizontal="right"/>
      <protection locked="0"/>
    </xf>
    <xf numFmtId="10" fontId="9" fillId="0" borderId="68" xfId="3" applyNumberFormat="1" applyFont="1" applyFill="1" applyBorder="1" applyAlignment="1" applyProtection="1">
      <alignment horizontal="right"/>
      <protection locked="0"/>
    </xf>
    <xf numFmtId="10" fontId="5" fillId="16" borderId="65" xfId="2" applyNumberFormat="1" applyFont="1" applyFill="1" applyBorder="1" applyProtection="1"/>
    <xf numFmtId="10" fontId="9" fillId="0" borderId="67" xfId="3" applyNumberFormat="1" applyFont="1" applyFill="1" applyBorder="1" applyAlignment="1" applyProtection="1">
      <alignment horizontal="right"/>
      <protection locked="0"/>
    </xf>
    <xf numFmtId="0" fontId="5" fillId="16" borderId="70" xfId="2" applyFont="1" applyFill="1" applyBorder="1" applyAlignment="1" applyProtection="1">
      <alignment horizontal="left"/>
    </xf>
    <xf numFmtId="0" fontId="5" fillId="16" borderId="71" xfId="2" applyFont="1" applyFill="1" applyBorder="1" applyAlignment="1" applyProtection="1">
      <alignment horizontal="left"/>
    </xf>
    <xf numFmtId="0" fontId="5" fillId="16" borderId="71" xfId="2" applyFont="1" applyFill="1" applyBorder="1" applyProtection="1"/>
    <xf numFmtId="10" fontId="5" fillId="16" borderId="71" xfId="2" applyNumberFormat="1" applyFont="1" applyFill="1" applyBorder="1" applyProtection="1"/>
    <xf numFmtId="9" fontId="5" fillId="16" borderId="72" xfId="2" applyNumberFormat="1" applyFont="1" applyFill="1" applyBorder="1" applyProtection="1"/>
    <xf numFmtId="1" fontId="5" fillId="16" borderId="72" xfId="3" applyNumberFormat="1" applyFont="1" applyFill="1" applyBorder="1" applyAlignment="1" applyProtection="1">
      <alignment horizontal="right"/>
    </xf>
    <xf numFmtId="164" fontId="9" fillId="0" borderId="73" xfId="3" applyFont="1" applyFill="1" applyBorder="1" applyAlignment="1" applyProtection="1">
      <alignment horizontal="right"/>
      <protection locked="0"/>
    </xf>
    <xf numFmtId="164" fontId="9" fillId="0" borderId="74" xfId="3" applyFont="1" applyFill="1" applyBorder="1" applyAlignment="1" applyProtection="1">
      <alignment horizontal="right"/>
      <protection locked="0"/>
    </xf>
    <xf numFmtId="164" fontId="9" fillId="0" borderId="75" xfId="3" applyFont="1" applyFill="1" applyBorder="1" applyAlignment="1" applyProtection="1">
      <alignment horizontal="right"/>
      <protection locked="0"/>
    </xf>
    <xf numFmtId="0" fontId="9" fillId="16" borderId="3" xfId="2" applyFont="1" applyFill="1" applyBorder="1" applyAlignment="1" applyProtection="1"/>
    <xf numFmtId="0" fontId="9" fillId="16" borderId="4" xfId="2" applyFont="1" applyFill="1" applyBorder="1" applyAlignment="1" applyProtection="1"/>
    <xf numFmtId="0" fontId="9" fillId="16" borderId="5" xfId="2" applyFont="1" applyFill="1" applyBorder="1" applyAlignment="1" applyProtection="1"/>
    <xf numFmtId="164" fontId="5" fillId="16" borderId="76" xfId="2" applyNumberFormat="1" applyFont="1" applyFill="1" applyBorder="1" applyProtection="1"/>
    <xf numFmtId="164" fontId="5" fillId="16" borderId="77" xfId="2" applyNumberFormat="1" applyFont="1" applyFill="1" applyBorder="1" applyProtection="1"/>
    <xf numFmtId="164" fontId="5" fillId="16" borderId="3" xfId="2" applyNumberFormat="1" applyFont="1" applyFill="1" applyBorder="1" applyProtection="1"/>
    <xf numFmtId="0" fontId="9" fillId="0" borderId="18" xfId="2" applyFont="1" applyFill="1" applyBorder="1" applyAlignment="1" applyProtection="1"/>
    <xf numFmtId="0" fontId="9" fillId="0" borderId="78" xfId="2" applyFont="1" applyFill="1" applyBorder="1" applyAlignment="1" applyProtection="1"/>
    <xf numFmtId="164" fontId="5" fillId="0" borderId="3" xfId="2" applyNumberFormat="1" applyFont="1" applyFill="1" applyBorder="1" applyProtection="1">
      <protection locked="0"/>
    </xf>
    <xf numFmtId="164" fontId="5" fillId="0" borderId="5" xfId="2" applyNumberFormat="1" applyFont="1" applyFill="1" applyBorder="1" applyProtection="1">
      <protection locked="0"/>
    </xf>
    <xf numFmtId="164" fontId="5" fillId="0" borderId="4" xfId="2" applyNumberFormat="1" applyFont="1" applyFill="1" applyBorder="1" applyProtection="1">
      <protection locked="0"/>
    </xf>
    <xf numFmtId="0" fontId="5" fillId="0" borderId="0" xfId="2" applyFont="1" applyFill="1" applyProtection="1">
      <protection locked="0"/>
    </xf>
    <xf numFmtId="164" fontId="9" fillId="16" borderId="77" xfId="2" applyNumberFormat="1" applyFont="1" applyFill="1" applyBorder="1" applyProtection="1"/>
    <xf numFmtId="164" fontId="9" fillId="16" borderId="19" xfId="2" applyNumberFormat="1" applyFont="1" applyFill="1" applyBorder="1" applyProtection="1"/>
    <xf numFmtId="0" fontId="5" fillId="0" borderId="3" xfId="2" applyFont="1" applyBorder="1" applyProtection="1"/>
    <xf numFmtId="0" fontId="5" fillId="0" borderId="4" xfId="2" applyFont="1" applyBorder="1" applyAlignment="1" applyProtection="1">
      <alignment wrapText="1"/>
    </xf>
    <xf numFmtId="0" fontId="5" fillId="0" borderId="4" xfId="2" applyFont="1" applyBorder="1" applyProtection="1"/>
    <xf numFmtId="1" fontId="5" fillId="0" borderId="4" xfId="3" applyNumberFormat="1" applyFont="1" applyBorder="1" applyAlignment="1" applyProtection="1">
      <alignment horizontal="right"/>
    </xf>
    <xf numFmtId="0" fontId="5" fillId="0" borderId="18" xfId="2" applyFont="1" applyBorder="1" applyProtection="1">
      <protection locked="0"/>
    </xf>
    <xf numFmtId="0" fontId="5" fillId="0" borderId="20" xfId="2" applyFont="1" applyFill="1" applyBorder="1" applyProtection="1">
      <protection locked="0"/>
    </xf>
    <xf numFmtId="0" fontId="5" fillId="0" borderId="78" xfId="2" applyFont="1" applyFill="1" applyBorder="1" applyProtection="1">
      <protection locked="0"/>
    </xf>
    <xf numFmtId="0" fontId="5" fillId="0" borderId="78" xfId="2" applyFont="1" applyBorder="1" applyProtection="1">
      <protection locked="0"/>
    </xf>
    <xf numFmtId="164" fontId="5" fillId="0" borderId="78" xfId="2" applyNumberFormat="1" applyFont="1" applyFill="1" applyBorder="1" applyProtection="1">
      <protection locked="0"/>
    </xf>
    <xf numFmtId="0" fontId="5" fillId="0" borderId="1" xfId="2" applyFont="1" applyFill="1" applyBorder="1" applyProtection="1">
      <protection locked="0"/>
    </xf>
    <xf numFmtId="0" fontId="5" fillId="16" borderId="79" xfId="2" applyFont="1" applyFill="1" applyBorder="1" applyProtection="1"/>
    <xf numFmtId="0" fontId="5" fillId="16" borderId="79" xfId="2" applyFont="1" applyFill="1" applyBorder="1" applyAlignment="1" applyProtection="1">
      <alignment wrapText="1"/>
    </xf>
    <xf numFmtId="0" fontId="5" fillId="16" borderId="80" xfId="2" applyFont="1" applyFill="1" applyBorder="1" applyProtection="1"/>
    <xf numFmtId="1" fontId="5" fillId="16" borderId="80" xfId="3" applyNumberFormat="1" applyFont="1" applyFill="1" applyBorder="1" applyAlignment="1" applyProtection="1">
      <alignment horizontal="right"/>
    </xf>
    <xf numFmtId="0" fontId="5" fillId="0" borderId="1" xfId="2" applyFont="1" applyBorder="1" applyAlignment="1">
      <alignment wrapText="1"/>
    </xf>
    <xf numFmtId="0" fontId="9" fillId="0" borderId="1" xfId="2" applyFont="1" applyBorder="1" applyAlignment="1">
      <alignment wrapText="1"/>
    </xf>
    <xf numFmtId="0" fontId="5" fillId="0" borderId="50" xfId="2" applyFont="1" applyBorder="1"/>
    <xf numFmtId="0" fontId="5" fillId="0" borderId="51" xfId="2" applyFont="1" applyBorder="1"/>
    <xf numFmtId="0" fontId="5" fillId="0" borderId="1" xfId="2" applyFont="1" applyBorder="1"/>
    <xf numFmtId="0" fontId="5" fillId="16" borderId="81" xfId="2" applyFont="1" applyFill="1" applyBorder="1" applyProtection="1"/>
    <xf numFmtId="0" fontId="5" fillId="16" borderId="82" xfId="2" applyFont="1" applyFill="1" applyBorder="1" applyAlignment="1" applyProtection="1"/>
    <xf numFmtId="0" fontId="5" fillId="16" borderId="83" xfId="2" applyFont="1" applyFill="1" applyBorder="1" applyProtection="1"/>
    <xf numFmtId="1" fontId="5" fillId="16" borderId="83" xfId="3" applyNumberFormat="1" applyFont="1" applyFill="1" applyBorder="1" applyAlignment="1" applyProtection="1">
      <alignment horizontal="right"/>
    </xf>
    <xf numFmtId="0" fontId="9" fillId="0" borderId="48" xfId="2" applyFont="1" applyFill="1" applyBorder="1" applyAlignment="1" applyProtection="1">
      <alignment wrapText="1"/>
      <protection locked="0"/>
    </xf>
    <xf numFmtId="0" fontId="5" fillId="0" borderId="48" xfId="2" applyFont="1" applyFill="1" applyBorder="1" applyAlignment="1" applyProtection="1">
      <alignment wrapText="1"/>
      <protection locked="0"/>
    </xf>
    <xf numFmtId="0" fontId="9" fillId="0" borderId="82" xfId="2" applyFont="1" applyFill="1" applyBorder="1" applyAlignment="1" applyProtection="1">
      <alignment wrapText="1"/>
      <protection locked="0"/>
    </xf>
    <xf numFmtId="0" fontId="5" fillId="0" borderId="50" xfId="2" applyFont="1" applyBorder="1" applyAlignment="1">
      <alignment wrapText="1"/>
    </xf>
    <xf numFmtId="0" fontId="5" fillId="0" borderId="51" xfId="2" applyFont="1" applyBorder="1" applyAlignment="1">
      <alignment wrapText="1"/>
    </xf>
    <xf numFmtId="0" fontId="5" fillId="16" borderId="19" xfId="2" applyFont="1" applyFill="1" applyBorder="1" applyProtection="1"/>
    <xf numFmtId="0" fontId="5" fillId="16" borderId="84" xfId="2" applyFont="1" applyFill="1" applyBorder="1" applyAlignment="1" applyProtection="1">
      <alignment wrapText="1"/>
    </xf>
    <xf numFmtId="0" fontId="5" fillId="16" borderId="84" xfId="2" applyFont="1" applyFill="1" applyBorder="1" applyProtection="1"/>
    <xf numFmtId="1" fontId="5" fillId="16" borderId="84" xfId="3" applyNumberFormat="1" applyFont="1" applyFill="1" applyBorder="1" applyAlignment="1" applyProtection="1">
      <alignment horizontal="right"/>
    </xf>
    <xf numFmtId="0" fontId="5" fillId="0" borderId="48" xfId="2" applyFont="1" applyFill="1" applyBorder="1" applyAlignment="1" applyProtection="1">
      <alignment horizontal="left" wrapText="1"/>
      <protection locked="0"/>
    </xf>
    <xf numFmtId="0" fontId="5" fillId="0" borderId="50" xfId="2" applyFont="1" applyFill="1" applyBorder="1" applyAlignment="1" applyProtection="1">
      <alignment horizontal="left" wrapText="1"/>
      <protection locked="0"/>
    </xf>
    <xf numFmtId="0" fontId="5" fillId="0" borderId="82" xfId="2" applyFont="1" applyFill="1" applyBorder="1" applyAlignment="1" applyProtection="1">
      <alignment horizontal="left" wrapText="1"/>
      <protection locked="0"/>
    </xf>
    <xf numFmtId="0" fontId="5" fillId="0" borderId="1" xfId="2" applyFont="1" applyFill="1" applyBorder="1" applyAlignment="1" applyProtection="1">
      <alignment horizontal="left" wrapText="1"/>
      <protection locked="0"/>
    </xf>
    <xf numFmtId="0" fontId="5" fillId="16" borderId="85" xfId="2" applyFont="1" applyFill="1" applyBorder="1" applyProtection="1"/>
    <xf numFmtId="0" fontId="9" fillId="0" borderId="48" xfId="2" applyFont="1" applyFill="1" applyBorder="1" applyAlignment="1" applyProtection="1">
      <alignment horizontal="left" wrapText="1"/>
      <protection locked="0"/>
    </xf>
    <xf numFmtId="0" fontId="5" fillId="0" borderId="83" xfId="2" applyFont="1" applyFill="1" applyBorder="1" applyAlignment="1" applyProtection="1">
      <alignment horizontal="left" wrapText="1"/>
      <protection locked="0"/>
    </xf>
    <xf numFmtId="9" fontId="5" fillId="0" borderId="48" xfId="2" applyNumberFormat="1" applyFont="1" applyFill="1" applyBorder="1" applyAlignment="1" applyProtection="1">
      <alignment horizontal="left" wrapText="1"/>
      <protection locked="0"/>
    </xf>
    <xf numFmtId="9" fontId="9" fillId="0" borderId="48" xfId="2" applyNumberFormat="1" applyFont="1" applyFill="1" applyBorder="1" applyAlignment="1" applyProtection="1">
      <alignment horizontal="left" wrapText="1"/>
      <protection locked="0"/>
    </xf>
    <xf numFmtId="9" fontId="9" fillId="0" borderId="82" xfId="2" applyNumberFormat="1" applyFont="1" applyFill="1" applyBorder="1" applyAlignment="1" applyProtection="1">
      <alignment horizontal="left" wrapText="1"/>
      <protection locked="0"/>
    </xf>
    <xf numFmtId="0" fontId="9" fillId="0" borderId="51" xfId="2" applyFont="1" applyFill="1" applyBorder="1" applyAlignment="1" applyProtection="1">
      <alignment horizontal="left" wrapText="1"/>
      <protection locked="0"/>
    </xf>
    <xf numFmtId="0" fontId="9" fillId="0" borderId="1" xfId="2" applyFont="1" applyFill="1" applyBorder="1" applyAlignment="1" applyProtection="1">
      <alignment horizontal="left" wrapText="1"/>
      <protection locked="0"/>
    </xf>
    <xf numFmtId="0" fontId="5" fillId="16" borderId="11" xfId="2" applyFont="1" applyFill="1" applyBorder="1" applyProtection="1"/>
    <xf numFmtId="0" fontId="5" fillId="16" borderId="86" xfId="2" applyFont="1" applyFill="1" applyBorder="1" applyAlignment="1" applyProtection="1">
      <alignment wrapText="1"/>
    </xf>
    <xf numFmtId="0" fontId="5" fillId="16" borderId="86" xfId="2" applyFont="1" applyFill="1" applyBorder="1" applyProtection="1"/>
    <xf numFmtId="1" fontId="5" fillId="16" borderId="86" xfId="3" applyNumberFormat="1" applyFont="1" applyFill="1" applyBorder="1" applyAlignment="1" applyProtection="1">
      <alignment horizontal="right"/>
    </xf>
    <xf numFmtId="0" fontId="5" fillId="0" borderId="52" xfId="2" applyFont="1" applyFill="1" applyBorder="1" applyAlignment="1" applyProtection="1">
      <alignment wrapText="1"/>
      <protection locked="0"/>
    </xf>
    <xf numFmtId="0" fontId="5" fillId="0" borderId="87" xfId="2" applyFont="1" applyFill="1" applyBorder="1" applyAlignment="1" applyProtection="1">
      <alignment wrapText="1"/>
      <protection locked="0"/>
    </xf>
    <xf numFmtId="0" fontId="9" fillId="0" borderId="88" xfId="2" applyFont="1" applyFill="1" applyBorder="1" applyAlignment="1" applyProtection="1">
      <alignment wrapText="1"/>
      <protection locked="0"/>
    </xf>
    <xf numFmtId="0" fontId="9" fillId="0" borderId="89" xfId="2" applyFont="1" applyFill="1" applyBorder="1" applyAlignment="1" applyProtection="1">
      <alignment wrapText="1"/>
      <protection locked="0"/>
    </xf>
    <xf numFmtId="0" fontId="5" fillId="0" borderId="78" xfId="2" applyFont="1" applyBorder="1" applyAlignment="1" applyProtection="1">
      <alignment wrapText="1"/>
      <protection locked="0"/>
    </xf>
    <xf numFmtId="1" fontId="5" fillId="0" borderId="78" xfId="3" applyNumberFormat="1" applyFont="1" applyBorder="1" applyAlignment="1" applyProtection="1">
      <alignment horizontal="right"/>
      <protection locked="0"/>
    </xf>
    <xf numFmtId="0" fontId="5" fillId="0" borderId="20" xfId="2" applyFont="1" applyBorder="1" applyProtection="1">
      <protection locked="0"/>
    </xf>
    <xf numFmtId="0" fontId="5" fillId="0" borderId="17" xfId="2" applyFont="1" applyBorder="1" applyProtection="1">
      <protection locked="0"/>
    </xf>
    <xf numFmtId="0" fontId="5" fillId="0" borderId="0" xfId="2" applyFont="1" applyBorder="1" applyAlignment="1" applyProtection="1">
      <alignment wrapText="1"/>
      <protection locked="0"/>
    </xf>
    <xf numFmtId="0" fontId="5" fillId="0" borderId="0" xfId="2" applyFont="1" applyBorder="1" applyProtection="1">
      <protection locked="0"/>
    </xf>
    <xf numFmtId="1" fontId="5" fillId="0" borderId="0" xfId="3" applyNumberFormat="1" applyFont="1" applyBorder="1" applyAlignment="1" applyProtection="1">
      <alignment horizontal="right"/>
      <protection locked="0"/>
    </xf>
    <xf numFmtId="0" fontId="5" fillId="0" borderId="9" xfId="2" applyFont="1" applyBorder="1" applyProtection="1">
      <protection locked="0"/>
    </xf>
    <xf numFmtId="0" fontId="5" fillId="0" borderId="56" xfId="2" applyFont="1" applyBorder="1" applyProtection="1">
      <protection locked="0"/>
    </xf>
    <xf numFmtId="0" fontId="5" fillId="0" borderId="14" xfId="2" applyFont="1" applyBorder="1" applyAlignment="1" applyProtection="1">
      <alignment wrapText="1"/>
      <protection locked="0"/>
    </xf>
    <xf numFmtId="0" fontId="5" fillId="0" borderId="14" xfId="2" applyFont="1" applyBorder="1" applyProtection="1">
      <protection locked="0"/>
    </xf>
    <xf numFmtId="0" fontId="5" fillId="0" borderId="15" xfId="2" applyFont="1" applyBorder="1" applyProtection="1">
      <protection locked="0"/>
    </xf>
    <xf numFmtId="0" fontId="5" fillId="0" borderId="0" xfId="2" applyFont="1" applyAlignment="1" applyProtection="1">
      <alignment wrapText="1"/>
      <protection locked="0"/>
    </xf>
    <xf numFmtId="0" fontId="0" fillId="0" borderId="51" xfId="0" applyFill="1" applyBorder="1"/>
    <xf numFmtId="0" fontId="1" fillId="0" borderId="1" xfId="0" applyFont="1" applyBorder="1"/>
    <xf numFmtId="0" fontId="0" fillId="0" borderId="1" xfId="0" applyBorder="1"/>
    <xf numFmtId="0" fontId="0" fillId="0" borderId="1" xfId="0" applyBorder="1" applyAlignment="1">
      <alignment wrapText="1"/>
    </xf>
    <xf numFmtId="3" fontId="0" fillId="0" borderId="1" xfId="0" applyNumberFormat="1" applyBorder="1"/>
    <xf numFmtId="14" fontId="9" fillId="0" borderId="10" xfId="2" applyNumberFormat="1" applyFont="1" applyFill="1" applyBorder="1" applyAlignment="1" applyProtection="1">
      <alignment horizontal="center" vertical="center" wrapText="1"/>
      <protection locked="0"/>
    </xf>
    <xf numFmtId="171" fontId="9" fillId="0" borderId="0" xfId="2" applyNumberFormat="1" applyFont="1" applyBorder="1" applyProtection="1">
      <protection locked="0"/>
    </xf>
    <xf numFmtId="0" fontId="9" fillId="16" borderId="20" xfId="2" applyFont="1" applyFill="1" applyBorder="1" applyAlignment="1" applyProtection="1">
      <alignment horizontal="center" vertical="center" wrapText="1"/>
    </xf>
    <xf numFmtId="0" fontId="5" fillId="16" borderId="9" xfId="2" applyFont="1" applyFill="1" applyBorder="1" applyAlignment="1" applyProtection="1">
      <alignment horizontal="center" vertical="center" wrapText="1"/>
    </xf>
    <xf numFmtId="0" fontId="9" fillId="0" borderId="17" xfId="2" applyFont="1" applyFill="1" applyBorder="1" applyAlignment="1" applyProtection="1">
      <alignment wrapText="1"/>
      <protection locked="0"/>
    </xf>
    <xf numFmtId="0" fontId="9" fillId="0" borderId="0" xfId="2" applyFont="1" applyAlignment="1" applyProtection="1">
      <alignment wrapText="1"/>
      <protection locked="0"/>
    </xf>
    <xf numFmtId="0" fontId="5" fillId="0" borderId="90" xfId="2" applyFont="1" applyBorder="1" applyAlignment="1" applyProtection="1">
      <alignment vertical="center" wrapText="1"/>
      <protection locked="0"/>
    </xf>
    <xf numFmtId="0" fontId="5" fillId="0" borderId="90" xfId="2" applyFont="1" applyBorder="1" applyAlignment="1" applyProtection="1">
      <alignment horizontal="left" vertical="center" wrapText="1"/>
      <protection locked="0"/>
    </xf>
    <xf numFmtId="0" fontId="5" fillId="0" borderId="80" xfId="2" applyFont="1" applyBorder="1" applyAlignment="1" applyProtection="1">
      <alignment vertical="center" wrapText="1"/>
      <protection locked="0"/>
    </xf>
    <xf numFmtId="164" fontId="5" fillId="0" borderId="19" xfId="2" applyNumberFormat="1" applyFont="1" applyBorder="1" applyAlignment="1" applyProtection="1">
      <alignment vertical="center" wrapText="1"/>
      <protection locked="0"/>
    </xf>
    <xf numFmtId="49" fontId="4" fillId="17" borderId="51" xfId="2" applyNumberFormat="1" applyFill="1" applyBorder="1"/>
    <xf numFmtId="168" fontId="15" fillId="17" borderId="49" xfId="3" applyNumberFormat="1" applyFont="1" applyFill="1" applyBorder="1" applyAlignment="1" applyProtection="1">
      <alignment vertical="center" wrapText="1"/>
      <protection locked="0"/>
    </xf>
    <xf numFmtId="166" fontId="4" fillId="17" borderId="83" xfId="2" applyNumberFormat="1" applyFill="1" applyBorder="1"/>
    <xf numFmtId="49" fontId="4" fillId="17" borderId="91" xfId="2" applyNumberFormat="1" applyFill="1" applyBorder="1"/>
    <xf numFmtId="0" fontId="19" fillId="18" borderId="48" xfId="2" applyNumberFormat="1" applyFont="1" applyFill="1" applyBorder="1" applyAlignment="1">
      <alignment horizontal="right" vertical="center"/>
    </xf>
    <xf numFmtId="0" fontId="20" fillId="18" borderId="48" xfId="2" applyFont="1" applyFill="1" applyBorder="1" applyAlignment="1">
      <alignment horizontal="right" vertical="center" wrapText="1"/>
    </xf>
    <xf numFmtId="168" fontId="15" fillId="17" borderId="51" xfId="3" applyNumberFormat="1" applyFont="1" applyFill="1" applyBorder="1" applyAlignment="1" applyProtection="1">
      <alignment vertical="center" wrapText="1"/>
      <protection locked="0"/>
    </xf>
    <xf numFmtId="2" fontId="4" fillId="0" borderId="48" xfId="2" applyNumberFormat="1" applyBorder="1"/>
    <xf numFmtId="0" fontId="21" fillId="0" borderId="49" xfId="2" applyFont="1" applyBorder="1" applyAlignment="1">
      <alignment horizontal="center" vertical="center" wrapText="1"/>
    </xf>
    <xf numFmtId="49" fontId="4" fillId="17" borderId="50" xfId="2" applyNumberFormat="1" applyFill="1" applyBorder="1"/>
    <xf numFmtId="49" fontId="4" fillId="17" borderId="1" xfId="2" applyNumberFormat="1" applyFill="1" applyBorder="1"/>
    <xf numFmtId="168" fontId="15" fillId="17" borderId="92" xfId="3" applyNumberFormat="1" applyFont="1" applyFill="1" applyBorder="1" applyAlignment="1" applyProtection="1">
      <alignment vertical="center" wrapText="1"/>
      <protection locked="0"/>
    </xf>
    <xf numFmtId="0" fontId="21" fillId="0" borderId="0" xfId="2" applyFont="1" applyBorder="1" applyAlignment="1">
      <alignment horizontal="center" vertical="center" wrapText="1"/>
    </xf>
    <xf numFmtId="0" fontId="22" fillId="0" borderId="91" xfId="2" applyFont="1" applyBorder="1" applyProtection="1">
      <protection locked="0"/>
    </xf>
    <xf numFmtId="0" fontId="5" fillId="0" borderId="91" xfId="2" applyFont="1" applyBorder="1" applyAlignment="1" applyProtection="1">
      <alignment wrapText="1"/>
      <protection locked="0"/>
    </xf>
    <xf numFmtId="167" fontId="5" fillId="0" borderId="91" xfId="2" applyNumberFormat="1" applyFont="1" applyBorder="1" applyProtection="1">
      <protection locked="0"/>
    </xf>
    <xf numFmtId="0" fontId="5" fillId="0" borderId="91" xfId="2" applyFont="1" applyBorder="1" applyProtection="1">
      <protection locked="0"/>
    </xf>
    <xf numFmtId="166" fontId="4" fillId="2" borderId="1" xfId="2" applyNumberFormat="1" applyFill="1" applyBorder="1"/>
    <xf numFmtId="4" fontId="21" fillId="0" borderId="0" xfId="2" applyNumberFormat="1" applyFont="1" applyBorder="1" applyAlignment="1">
      <alignment horizontal="center" vertical="center" wrapText="1"/>
    </xf>
    <xf numFmtId="0" fontId="5" fillId="0" borderId="11" xfId="2" applyFont="1" applyBorder="1" applyAlignment="1" applyProtection="1">
      <alignment vertical="center" wrapText="1"/>
      <protection locked="0"/>
    </xf>
    <xf numFmtId="0" fontId="5" fillId="0" borderId="11" xfId="2" applyFont="1" applyBorder="1" applyAlignment="1" applyProtection="1">
      <alignment horizontal="center" vertical="center" wrapText="1"/>
      <protection locked="0"/>
    </xf>
    <xf numFmtId="0" fontId="5" fillId="0" borderId="86" xfId="2" applyFont="1" applyBorder="1" applyAlignment="1" applyProtection="1">
      <alignment horizontal="center" vertical="center" wrapText="1"/>
      <protection locked="0"/>
    </xf>
    <xf numFmtId="4" fontId="5" fillId="0" borderId="52" xfId="2" applyNumberFormat="1" applyFont="1" applyBorder="1" applyAlignment="1" applyProtection="1">
      <alignment horizontal="center" vertical="center" wrapText="1"/>
      <protection locked="0"/>
    </xf>
    <xf numFmtId="4" fontId="5" fillId="0" borderId="52" xfId="2" applyNumberFormat="1" applyFont="1" applyBorder="1" applyAlignment="1" applyProtection="1">
      <alignment vertical="center" wrapText="1"/>
      <protection locked="0"/>
    </xf>
    <xf numFmtId="4" fontId="5" fillId="0" borderId="53" xfId="2" applyNumberFormat="1" applyFont="1" applyBorder="1" applyAlignment="1" applyProtection="1">
      <alignment vertical="center" wrapText="1"/>
      <protection locked="0"/>
    </xf>
    <xf numFmtId="0" fontId="5" fillId="0" borderId="52" xfId="2" applyFont="1" applyBorder="1" applyProtection="1">
      <protection locked="0"/>
    </xf>
    <xf numFmtId="0" fontId="5" fillId="0" borderId="16" xfId="2" applyFont="1" applyBorder="1" applyProtection="1">
      <protection locked="0"/>
    </xf>
    <xf numFmtId="164" fontId="9" fillId="16" borderId="77" xfId="3" applyFont="1" applyFill="1" applyBorder="1" applyAlignment="1" applyProtection="1">
      <alignment horizontal="center"/>
    </xf>
    <xf numFmtId="0" fontId="9" fillId="0" borderId="0" xfId="2" applyFont="1" applyFill="1" applyBorder="1" applyAlignment="1" applyProtection="1">
      <alignment vertical="top"/>
      <protection locked="0"/>
    </xf>
    <xf numFmtId="168" fontId="15" fillId="17" borderId="83" xfId="3" applyNumberFormat="1" applyFont="1" applyFill="1" applyBorder="1" applyAlignment="1" applyProtection="1">
      <alignment vertical="center" wrapText="1"/>
      <protection locked="0"/>
    </xf>
    <xf numFmtId="164" fontId="9" fillId="16" borderId="15" xfId="3" applyFont="1" applyFill="1" applyBorder="1" applyAlignment="1" applyProtection="1">
      <alignment horizontal="center"/>
    </xf>
    <xf numFmtId="9" fontId="22" fillId="0" borderId="91" xfId="1" applyFont="1" applyBorder="1" applyProtection="1">
      <protection locked="0"/>
    </xf>
    <xf numFmtId="0" fontId="0" fillId="0" borderId="50" xfId="0" applyBorder="1"/>
    <xf numFmtId="167" fontId="0" fillId="0" borderId="1" xfId="0" applyNumberFormat="1" applyBorder="1"/>
    <xf numFmtId="1" fontId="0" fillId="0" borderId="1" xfId="0" applyNumberFormat="1" applyBorder="1"/>
    <xf numFmtId="2" fontId="0" fillId="0" borderId="1" xfId="0" applyNumberFormat="1" applyBorder="1" applyAlignment="1">
      <alignment horizontal="center" vertical="center"/>
    </xf>
    <xf numFmtId="0" fontId="0" fillId="0" borderId="1" xfId="0" applyFill="1" applyBorder="1" applyAlignment="1">
      <alignment wrapText="1"/>
    </xf>
    <xf numFmtId="3" fontId="5" fillId="0" borderId="0" xfId="2" applyNumberFormat="1" applyFont="1" applyProtection="1"/>
    <xf numFmtId="3" fontId="9" fillId="0" borderId="0" xfId="3" applyNumberFormat="1" applyFont="1" applyBorder="1" applyAlignment="1" applyProtection="1">
      <alignment horizontal="right"/>
    </xf>
    <xf numFmtId="9" fontId="9" fillId="0" borderId="61" xfId="46" applyFont="1" applyFill="1" applyBorder="1" applyAlignment="1" applyProtection="1">
      <alignment horizontal="right"/>
      <protection locked="0"/>
    </xf>
    <xf numFmtId="3" fontId="5" fillId="0" borderId="46" xfId="2" applyNumberFormat="1" applyFont="1" applyBorder="1" applyAlignment="1" applyProtection="1">
      <alignment vertical="center" wrapText="1"/>
      <protection locked="0"/>
    </xf>
    <xf numFmtId="0" fontId="5" fillId="0" borderId="1" xfId="2" applyFont="1" applyBorder="1" applyProtection="1">
      <protection locked="0"/>
    </xf>
    <xf numFmtId="3" fontId="23" fillId="2" borderId="1" xfId="2" applyNumberFormat="1" applyFont="1" applyFill="1" applyBorder="1"/>
    <xf numFmtId="3" fontId="24" fillId="17" borderId="1" xfId="2" applyNumberFormat="1" applyFont="1" applyFill="1" applyBorder="1"/>
    <xf numFmtId="164" fontId="25" fillId="0" borderId="1" xfId="3" applyFont="1" applyBorder="1" applyAlignment="1">
      <alignment horizontal="center" vertical="top" wrapText="1"/>
    </xf>
    <xf numFmtId="4" fontId="26" fillId="0" borderId="1" xfId="2" applyNumberFormat="1" applyFont="1" applyBorder="1" applyAlignment="1">
      <alignment horizontal="center" wrapText="1"/>
    </xf>
    <xf numFmtId="2" fontId="27" fillId="0" borderId="48" xfId="2" applyNumberFormat="1" applyFont="1" applyBorder="1" applyAlignment="1">
      <alignment horizontal="right"/>
    </xf>
    <xf numFmtId="167" fontId="14" fillId="0" borderId="49" xfId="2" applyNumberFormat="1" applyFont="1" applyBorder="1" applyAlignment="1">
      <alignment vertical="center"/>
    </xf>
    <xf numFmtId="49" fontId="24" fillId="2" borderId="1" xfId="2" applyNumberFormat="1" applyFont="1" applyFill="1" applyBorder="1"/>
    <xf numFmtId="49" fontId="24" fillId="17" borderId="1" xfId="2" applyNumberFormat="1" applyFont="1" applyFill="1" applyBorder="1"/>
    <xf numFmtId="166" fontId="24" fillId="17" borderId="1" xfId="2" applyNumberFormat="1" applyFont="1" applyFill="1" applyBorder="1"/>
    <xf numFmtId="2" fontId="27" fillId="0" borderId="48" xfId="3" applyNumberFormat="1" applyFont="1" applyBorder="1" applyAlignment="1">
      <alignment horizontal="right"/>
    </xf>
    <xf numFmtId="49" fontId="4" fillId="17" borderId="1" xfId="2" applyNumberFormat="1" applyFont="1" applyFill="1" applyBorder="1"/>
    <xf numFmtId="49" fontId="28" fillId="17" borderId="1" xfId="2" applyNumberFormat="1" applyFont="1" applyFill="1" applyBorder="1"/>
    <xf numFmtId="3" fontId="28" fillId="2" borderId="1" xfId="2" applyNumberFormat="1" applyFont="1" applyFill="1" applyBorder="1"/>
    <xf numFmtId="168" fontId="29" fillId="17" borderId="48" xfId="3" applyNumberFormat="1" applyFont="1" applyFill="1" applyBorder="1" applyAlignment="1" applyProtection="1">
      <alignment vertical="center" wrapText="1"/>
      <protection locked="0"/>
    </xf>
    <xf numFmtId="168" fontId="29" fillId="17" borderId="51" xfId="3" applyNumberFormat="1" applyFont="1" applyFill="1" applyBorder="1" applyAlignment="1" applyProtection="1">
      <alignment vertical="center" wrapText="1"/>
      <protection locked="0"/>
    </xf>
    <xf numFmtId="164" fontId="27" fillId="0" borderId="48" xfId="3" applyFont="1" applyBorder="1" applyAlignment="1">
      <alignment horizontal="right"/>
    </xf>
    <xf numFmtId="164" fontId="27" fillId="0" borderId="48" xfId="3" applyFont="1" applyBorder="1" applyAlignment="1">
      <alignment horizontal="center"/>
    </xf>
    <xf numFmtId="164" fontId="30" fillId="0" borderId="1" xfId="3" applyFont="1" applyBorder="1"/>
    <xf numFmtId="164" fontId="27" fillId="0" borderId="48" xfId="3" applyFont="1" applyBorder="1"/>
    <xf numFmtId="3" fontId="3" fillId="17" borderId="1" xfId="2" applyNumberFormat="1" applyFont="1" applyFill="1" applyBorder="1"/>
    <xf numFmtId="49" fontId="31" fillId="17" borderId="50" xfId="2" applyNumberFormat="1" applyFont="1" applyFill="1" applyBorder="1"/>
    <xf numFmtId="49" fontId="31" fillId="17" borderId="1" xfId="2" applyNumberFormat="1" applyFont="1" applyFill="1" applyBorder="1"/>
    <xf numFmtId="164" fontId="27" fillId="2" borderId="48" xfId="3" applyFont="1" applyFill="1" applyBorder="1"/>
    <xf numFmtId="164" fontId="32" fillId="0" borderId="48" xfId="3" applyFont="1" applyBorder="1"/>
    <xf numFmtId="0" fontId="5" fillId="0" borderId="93" xfId="2" applyFont="1" applyBorder="1" applyAlignment="1" applyProtection="1">
      <alignment horizontal="center" vertical="center" wrapText="1"/>
      <protection locked="0"/>
    </xf>
    <xf numFmtId="49" fontId="4" fillId="17" borderId="89" xfId="2" applyNumberFormat="1" applyFill="1" applyBorder="1"/>
    <xf numFmtId="0" fontId="5" fillId="0" borderId="89" xfId="2" applyFont="1" applyBorder="1" applyProtection="1">
      <protection locked="0"/>
    </xf>
    <xf numFmtId="3" fontId="23" fillId="2" borderId="89" xfId="2" applyNumberFormat="1" applyFont="1" applyFill="1" applyBorder="1"/>
    <xf numFmtId="3" fontId="24" fillId="17" borderId="89" xfId="2" applyNumberFormat="1" applyFont="1" applyFill="1" applyBorder="1"/>
    <xf numFmtId="0" fontId="5" fillId="0" borderId="1" xfId="2" applyFont="1" applyBorder="1" applyAlignment="1" applyProtection="1">
      <alignment horizontal="center" vertical="center" wrapText="1"/>
      <protection locked="0"/>
    </xf>
    <xf numFmtId="49" fontId="4" fillId="19" borderId="1" xfId="2" applyNumberFormat="1" applyFill="1" applyBorder="1"/>
    <xf numFmtId="3" fontId="5" fillId="0" borderId="1" xfId="2" applyNumberFormat="1" applyFont="1" applyBorder="1" applyProtection="1">
      <protection locked="0"/>
    </xf>
    <xf numFmtId="49" fontId="4" fillId="0" borderId="1" xfId="2" applyNumberFormat="1" applyBorder="1"/>
    <xf numFmtId="3" fontId="4" fillId="0" borderId="1" xfId="2" applyNumberFormat="1" applyBorder="1"/>
    <xf numFmtId="1" fontId="2" fillId="0" borderId="1" xfId="4" applyNumberFormat="1" applyBorder="1"/>
    <xf numFmtId="167" fontId="2" fillId="0" borderId="1" xfId="4" applyNumberFormat="1" applyBorder="1"/>
    <xf numFmtId="49" fontId="4" fillId="2" borderId="1" xfId="2" applyNumberFormat="1" applyFill="1" applyBorder="1"/>
    <xf numFmtId="49" fontId="24" fillId="17" borderId="0" xfId="2" applyNumberFormat="1" applyFont="1" applyFill="1" applyBorder="1"/>
    <xf numFmtId="166" fontId="24" fillId="17" borderId="0" xfId="2" applyNumberFormat="1" applyFont="1" applyFill="1" applyBorder="1"/>
    <xf numFmtId="0" fontId="5" fillId="0" borderId="94" xfId="2" applyFont="1" applyBorder="1" applyAlignment="1" applyProtection="1">
      <alignment horizontal="center" vertical="center" wrapText="1"/>
      <protection locked="0"/>
    </xf>
    <xf numFmtId="0" fontId="17" fillId="0" borderId="95" xfId="2" applyFont="1" applyBorder="1" applyAlignment="1" applyProtection="1">
      <alignment wrapText="1"/>
      <protection locked="0"/>
    </xf>
    <xf numFmtId="0" fontId="5" fillId="0" borderId="95" xfId="2" applyFont="1" applyBorder="1" applyProtection="1">
      <protection locked="0"/>
    </xf>
    <xf numFmtId="3" fontId="5" fillId="0" borderId="95" xfId="2" applyNumberFormat="1" applyFont="1" applyBorder="1" applyProtection="1">
      <protection locked="0"/>
    </xf>
    <xf numFmtId="3" fontId="5" fillId="0" borderId="0" xfId="2" applyNumberFormat="1" applyFont="1" applyProtection="1">
      <protection locked="0"/>
    </xf>
    <xf numFmtId="49" fontId="4" fillId="17" borderId="87" xfId="2" applyNumberFormat="1" applyFill="1" applyBorder="1"/>
    <xf numFmtId="0" fontId="5" fillId="0" borderId="55" xfId="2" applyFont="1" applyBorder="1" applyAlignment="1" applyProtection="1">
      <alignment vertical="center" wrapText="1"/>
      <protection locked="0"/>
    </xf>
    <xf numFmtId="3" fontId="5" fillId="0" borderId="16" xfId="2" applyNumberFormat="1" applyFont="1" applyBorder="1" applyAlignment="1" applyProtection="1">
      <alignment horizontal="center" vertical="center" wrapText="1"/>
      <protection locked="0"/>
    </xf>
    <xf numFmtId="3" fontId="9" fillId="16" borderId="15" xfId="3" applyNumberFormat="1" applyFont="1" applyFill="1" applyBorder="1" applyAlignment="1" applyProtection="1">
      <alignment horizontal="center"/>
    </xf>
    <xf numFmtId="3" fontId="5" fillId="16" borderId="60" xfId="3" applyNumberFormat="1" applyFont="1" applyFill="1" applyBorder="1" applyAlignment="1" applyProtection="1">
      <alignment horizontal="right"/>
    </xf>
    <xf numFmtId="3" fontId="5" fillId="16" borderId="69" xfId="2" applyNumberFormat="1" applyFont="1" applyFill="1" applyBorder="1" applyAlignment="1" applyProtection="1"/>
    <xf numFmtId="3" fontId="5" fillId="16" borderId="69" xfId="2" applyNumberFormat="1" applyFont="1" applyFill="1" applyBorder="1" applyProtection="1"/>
    <xf numFmtId="3" fontId="5" fillId="16" borderId="72" xfId="2" applyNumberFormat="1" applyFont="1" applyFill="1" applyBorder="1" applyProtection="1"/>
    <xf numFmtId="3" fontId="5" fillId="16" borderId="72" xfId="3" applyNumberFormat="1" applyFont="1" applyFill="1" applyBorder="1" applyAlignment="1" applyProtection="1">
      <alignment horizontal="right"/>
    </xf>
    <xf numFmtId="3" fontId="9" fillId="16" borderId="5" xfId="2" applyNumberFormat="1" applyFont="1" applyFill="1" applyBorder="1" applyAlignment="1" applyProtection="1"/>
    <xf numFmtId="3" fontId="9" fillId="0" borderId="78" xfId="2" applyNumberFormat="1" applyFont="1" applyFill="1" applyBorder="1" applyAlignment="1" applyProtection="1"/>
    <xf numFmtId="3" fontId="5" fillId="0" borderId="4" xfId="3" applyNumberFormat="1" applyFont="1" applyBorder="1" applyAlignment="1" applyProtection="1">
      <alignment horizontal="right"/>
    </xf>
    <xf numFmtId="3" fontId="5" fillId="16" borderId="80" xfId="3" applyNumberFormat="1" applyFont="1" applyFill="1" applyBorder="1" applyAlignment="1" applyProtection="1">
      <alignment horizontal="right"/>
    </xf>
    <xf numFmtId="3" fontId="5" fillId="16" borderId="83" xfId="3" applyNumberFormat="1" applyFont="1" applyFill="1" applyBorder="1" applyAlignment="1" applyProtection="1">
      <alignment horizontal="right"/>
    </xf>
    <xf numFmtId="3" fontId="5" fillId="16" borderId="84" xfId="3" applyNumberFormat="1" applyFont="1" applyFill="1" applyBorder="1" applyAlignment="1" applyProtection="1">
      <alignment horizontal="right"/>
    </xf>
    <xf numFmtId="3" fontId="5" fillId="16" borderId="86" xfId="3" applyNumberFormat="1" applyFont="1" applyFill="1" applyBorder="1" applyAlignment="1" applyProtection="1">
      <alignment horizontal="right"/>
    </xf>
    <xf numFmtId="3" fontId="9" fillId="0" borderId="0" xfId="2" applyNumberFormat="1" applyFont="1" applyFill="1" applyBorder="1" applyAlignment="1" applyProtection="1">
      <alignment vertical="top"/>
      <protection locked="0"/>
    </xf>
    <xf numFmtId="3" fontId="5" fillId="0" borderId="78" xfId="3" applyNumberFormat="1" applyFont="1" applyBorder="1" applyAlignment="1" applyProtection="1">
      <alignment horizontal="right"/>
      <protection locked="0"/>
    </xf>
    <xf numFmtId="3" fontId="5" fillId="0" borderId="0" xfId="3" applyNumberFormat="1" applyFont="1" applyBorder="1" applyAlignment="1" applyProtection="1">
      <alignment horizontal="right"/>
      <protection locked="0"/>
    </xf>
    <xf numFmtId="3" fontId="9" fillId="0" borderId="0" xfId="2" applyNumberFormat="1" applyFont="1" applyBorder="1" applyProtection="1">
      <protection locked="0"/>
    </xf>
    <xf numFmtId="3" fontId="5" fillId="0" borderId="14" xfId="2" applyNumberFormat="1" applyFont="1" applyBorder="1" applyProtection="1">
      <protection locked="0"/>
    </xf>
    <xf numFmtId="0" fontId="22" fillId="0" borderId="48" xfId="2" applyFont="1" applyBorder="1" applyAlignment="1" applyProtection="1">
      <alignment horizontal="center" vertical="center" wrapText="1"/>
      <protection locked="0"/>
    </xf>
    <xf numFmtId="0" fontId="22" fillId="0" borderId="1" xfId="2" applyFont="1" applyBorder="1" applyProtection="1">
      <protection locked="0"/>
    </xf>
    <xf numFmtId="164" fontId="33" fillId="0" borderId="1" xfId="3" applyFont="1" applyBorder="1"/>
    <xf numFmtId="1" fontId="3" fillId="0" borderId="49" xfId="4" applyNumberFormat="1" applyFont="1" applyBorder="1"/>
    <xf numFmtId="4" fontId="34" fillId="0" borderId="1" xfId="2" applyNumberFormat="1" applyFont="1" applyBorder="1" applyAlignment="1">
      <alignment horizontal="center" wrapText="1"/>
    </xf>
    <xf numFmtId="167" fontId="3" fillId="0" borderId="51" xfId="4" applyNumberFormat="1" applyFont="1" applyBorder="1"/>
    <xf numFmtId="164" fontId="35" fillId="0" borderId="48" xfId="3" applyFont="1" applyBorder="1"/>
    <xf numFmtId="167" fontId="36" fillId="0" borderId="49" xfId="2" applyNumberFormat="1" applyFont="1" applyBorder="1" applyAlignment="1">
      <alignment vertical="center"/>
    </xf>
    <xf numFmtId="0" fontId="22" fillId="0" borderId="0" xfId="2" applyFont="1" applyProtection="1">
      <protection locked="0"/>
    </xf>
    <xf numFmtId="3" fontId="4" fillId="17" borderId="1" xfId="2" applyNumberFormat="1" applyFill="1" applyBorder="1"/>
    <xf numFmtId="166" fontId="4" fillId="17" borderId="1" xfId="2" applyNumberFormat="1" applyFill="1" applyBorder="1"/>
    <xf numFmtId="166" fontId="4" fillId="17" borderId="89" xfId="2" applyNumberFormat="1" applyFill="1" applyBorder="1"/>
    <xf numFmtId="3" fontId="4" fillId="17" borderId="89" xfId="2" applyNumberFormat="1" applyFill="1" applyBorder="1"/>
    <xf numFmtId="0" fontId="17" fillId="0" borderId="1" xfId="2" applyFont="1" applyBorder="1" applyAlignment="1" applyProtection="1">
      <alignment wrapText="1"/>
      <protection locked="0"/>
    </xf>
    <xf numFmtId="166" fontId="4" fillId="0" borderId="1" xfId="2" applyNumberFormat="1" applyBorder="1"/>
    <xf numFmtId="164" fontId="5" fillId="0" borderId="61" xfId="46" applyNumberFormat="1" applyFont="1" applyFill="1" applyBorder="1" applyAlignment="1" applyProtection="1">
      <alignment horizontal="right"/>
      <protection locked="0"/>
    </xf>
    <xf numFmtId="9" fontId="5" fillId="0" borderId="66" xfId="1" applyFont="1" applyFill="1" applyBorder="1" applyAlignment="1" applyProtection="1">
      <alignment horizontal="right"/>
      <protection locked="0"/>
    </xf>
    <xf numFmtId="0" fontId="1" fillId="0" borderId="51" xfId="0" applyFont="1" applyBorder="1"/>
    <xf numFmtId="0" fontId="0" fillId="0" borderId="51" xfId="0" applyBorder="1"/>
    <xf numFmtId="0" fontId="0" fillId="0" borderId="51" xfId="0" applyFill="1" applyBorder="1" applyAlignment="1">
      <alignment wrapText="1"/>
    </xf>
    <xf numFmtId="0" fontId="1" fillId="0" borderId="1" xfId="0" applyFont="1" applyBorder="1" applyAlignment="1">
      <alignment horizontal="left"/>
    </xf>
    <xf numFmtId="0" fontId="0" fillId="17" borderId="1" xfId="0" applyNumberFormat="1" applyFill="1" applyBorder="1"/>
    <xf numFmtId="165" fontId="9" fillId="0" borderId="10" xfId="56" applyNumberFormat="1" applyFont="1" applyFill="1" applyBorder="1" applyAlignment="1" applyProtection="1">
      <alignment horizontal="center" vertical="center" wrapText="1"/>
      <protection locked="0"/>
    </xf>
    <xf numFmtId="1" fontId="9" fillId="0" borderId="0" xfId="56" applyNumberFormat="1" applyFont="1" applyBorder="1" applyAlignment="1" applyProtection="1">
      <alignment horizontal="right"/>
    </xf>
    <xf numFmtId="0" fontId="12" fillId="0" borderId="1" xfId="2" applyFont="1" applyBorder="1" applyAlignment="1">
      <alignment wrapText="1"/>
    </xf>
    <xf numFmtId="0" fontId="5" fillId="0" borderId="1" xfId="2" applyFont="1" applyBorder="1" applyAlignment="1" applyProtection="1">
      <alignment vertical="center" wrapText="1"/>
      <protection locked="0"/>
    </xf>
    <xf numFmtId="0" fontId="5" fillId="0" borderId="1" xfId="2" applyFont="1" applyBorder="1" applyAlignment="1" applyProtection="1">
      <alignment horizontal="left" vertical="center" wrapText="1"/>
      <protection locked="0"/>
    </xf>
    <xf numFmtId="164" fontId="5" fillId="0" borderId="1" xfId="2" applyNumberFormat="1" applyFont="1" applyBorder="1" applyAlignment="1" applyProtection="1">
      <alignment vertical="center" wrapText="1"/>
      <protection locked="0"/>
    </xf>
    <xf numFmtId="0" fontId="31" fillId="17" borderId="1" xfId="2" applyNumberFormat="1" applyFont="1" applyFill="1" applyBorder="1"/>
    <xf numFmtId="0" fontId="31" fillId="17" borderId="1" xfId="2" applyNumberFormat="1" applyFont="1" applyFill="1" applyBorder="1" applyAlignment="1">
      <alignment wrapText="1"/>
    </xf>
    <xf numFmtId="0" fontId="19" fillId="17" borderId="1" xfId="2" applyFont="1" applyFill="1" applyBorder="1" applyAlignment="1">
      <alignment horizontal="center" vertical="center" wrapText="1"/>
    </xf>
    <xf numFmtId="0" fontId="37" fillId="18" borderId="1" xfId="2" applyFont="1" applyFill="1" applyBorder="1" applyAlignment="1">
      <alignment vertical="center"/>
    </xf>
    <xf numFmtId="1" fontId="38" fillId="0" borderId="1" xfId="2" applyNumberFormat="1" applyFont="1" applyBorder="1"/>
    <xf numFmtId="49" fontId="31" fillId="17" borderId="1" xfId="2" applyNumberFormat="1" applyFont="1" applyFill="1" applyBorder="1" applyAlignment="1">
      <alignment wrapText="1"/>
    </xf>
    <xf numFmtId="49" fontId="4" fillId="17" borderId="1" xfId="2" applyNumberFormat="1" applyFill="1" applyBorder="1" applyAlignment="1">
      <alignment wrapText="1"/>
    </xf>
    <xf numFmtId="0" fontId="39" fillId="18" borderId="1" xfId="2" applyFont="1" applyFill="1" applyBorder="1" applyAlignment="1">
      <alignment vertical="center"/>
    </xf>
    <xf numFmtId="4" fontId="5" fillId="0" borderId="1" xfId="2" applyNumberFormat="1" applyFont="1" applyBorder="1" applyAlignment="1" applyProtection="1">
      <alignment horizontal="center" vertical="center" wrapText="1"/>
      <protection locked="0"/>
    </xf>
    <xf numFmtId="0" fontId="9" fillId="0" borderId="1" xfId="2" applyFont="1" applyBorder="1" applyAlignment="1" applyProtection="1">
      <alignment horizontal="center" vertical="center" wrapText="1"/>
      <protection locked="0"/>
    </xf>
    <xf numFmtId="4" fontId="5" fillId="0" borderId="1" xfId="2" applyNumberFormat="1" applyFont="1" applyBorder="1" applyAlignment="1" applyProtection="1">
      <alignment vertical="center" wrapText="1"/>
      <protection locked="0"/>
    </xf>
    <xf numFmtId="0" fontId="5" fillId="16" borderId="15" xfId="2" applyFont="1" applyFill="1" applyBorder="1" applyAlignment="1" applyProtection="1">
      <alignment wrapText="1"/>
    </xf>
    <xf numFmtId="1" fontId="9" fillId="16" borderId="15" xfId="56" applyNumberFormat="1" applyFont="1" applyFill="1" applyBorder="1" applyAlignment="1" applyProtection="1">
      <alignment horizontal="center"/>
    </xf>
    <xf numFmtId="164" fontId="9" fillId="16" borderId="57" xfId="56" applyFont="1" applyFill="1" applyBorder="1" applyAlignment="1" applyProtection="1">
      <alignment horizontal="center"/>
    </xf>
    <xf numFmtId="164" fontId="17" fillId="16" borderId="57" xfId="56" applyFont="1" applyFill="1" applyBorder="1" applyAlignment="1" applyProtection="1">
      <alignment horizontal="center"/>
    </xf>
    <xf numFmtId="0" fontId="5" fillId="16" borderId="59" xfId="2" applyFont="1" applyFill="1" applyBorder="1" applyAlignment="1" applyProtection="1">
      <alignment wrapText="1"/>
    </xf>
    <xf numFmtId="1" fontId="5" fillId="16" borderId="60" xfId="56" applyNumberFormat="1" applyFont="1" applyFill="1" applyBorder="1" applyAlignment="1" applyProtection="1">
      <alignment horizontal="right"/>
    </xf>
    <xf numFmtId="164" fontId="5" fillId="0" borderId="61" xfId="56" applyFont="1" applyFill="1" applyBorder="1" applyAlignment="1" applyProtection="1">
      <alignment horizontal="right"/>
      <protection locked="0"/>
    </xf>
    <xf numFmtId="164" fontId="5" fillId="0" borderId="62" xfId="56" applyFont="1" applyFill="1" applyBorder="1" applyAlignment="1" applyProtection="1">
      <alignment horizontal="right"/>
      <protection locked="0"/>
    </xf>
    <xf numFmtId="164" fontId="5" fillId="0" borderId="63" xfId="56" applyFont="1" applyFill="1" applyBorder="1" applyAlignment="1" applyProtection="1">
      <alignment horizontal="right"/>
      <protection locked="0"/>
    </xf>
    <xf numFmtId="164" fontId="5" fillId="0" borderId="66" xfId="56" applyFont="1" applyFill="1" applyBorder="1" applyAlignment="1" applyProtection="1">
      <alignment horizontal="right"/>
      <protection locked="0"/>
    </xf>
    <xf numFmtId="164" fontId="5" fillId="0" borderId="67" xfId="56" applyFont="1" applyFill="1" applyBorder="1" applyAlignment="1" applyProtection="1">
      <alignment horizontal="right"/>
      <protection locked="0"/>
    </xf>
    <xf numFmtId="164" fontId="5" fillId="0" borderId="68" xfId="56" applyFont="1" applyFill="1" applyBorder="1" applyAlignment="1" applyProtection="1">
      <alignment horizontal="right"/>
      <protection locked="0"/>
    </xf>
    <xf numFmtId="0" fontId="5" fillId="16" borderId="65" xfId="2" applyFont="1" applyFill="1" applyBorder="1" applyAlignment="1" applyProtection="1">
      <alignment wrapText="1"/>
    </xf>
    <xf numFmtId="164" fontId="5" fillId="16" borderId="66" xfId="56" applyFont="1" applyFill="1" applyBorder="1" applyAlignment="1" applyProtection="1">
      <alignment horizontal="right"/>
    </xf>
    <xf numFmtId="164" fontId="5" fillId="16" borderId="67" xfId="56" applyFont="1" applyFill="1" applyBorder="1" applyAlignment="1" applyProtection="1">
      <alignment horizontal="right"/>
    </xf>
    <xf numFmtId="164" fontId="5" fillId="16" borderId="68" xfId="56" applyFont="1" applyFill="1" applyBorder="1" applyAlignment="1" applyProtection="1">
      <alignment horizontal="right"/>
    </xf>
    <xf numFmtId="10" fontId="9" fillId="0" borderId="66" xfId="56" applyNumberFormat="1" applyFont="1" applyFill="1" applyBorder="1" applyAlignment="1" applyProtection="1">
      <alignment horizontal="right"/>
      <protection locked="0"/>
    </xf>
    <xf numFmtId="10" fontId="9" fillId="0" borderId="67" xfId="56" applyNumberFormat="1" applyFont="1" applyFill="1" applyBorder="1" applyAlignment="1" applyProtection="1">
      <alignment horizontal="right"/>
      <protection locked="0"/>
    </xf>
    <xf numFmtId="10" fontId="9" fillId="0" borderId="68" xfId="56" applyNumberFormat="1" applyFont="1" applyFill="1" applyBorder="1" applyAlignment="1" applyProtection="1">
      <alignment horizontal="right"/>
      <protection locked="0"/>
    </xf>
    <xf numFmtId="0" fontId="5" fillId="16" borderId="71" xfId="2" applyFont="1" applyFill="1" applyBorder="1" applyAlignment="1" applyProtection="1">
      <alignment wrapText="1"/>
    </xf>
    <xf numFmtId="1" fontId="5" fillId="16" borderId="72" xfId="56" applyNumberFormat="1" applyFont="1" applyFill="1" applyBorder="1" applyAlignment="1" applyProtection="1">
      <alignment horizontal="right"/>
    </xf>
    <xf numFmtId="164" fontId="9" fillId="0" borderId="73" xfId="56" applyFont="1" applyFill="1" applyBorder="1" applyAlignment="1" applyProtection="1">
      <alignment horizontal="right"/>
      <protection locked="0"/>
    </xf>
    <xf numFmtId="164" fontId="9" fillId="0" borderId="74" xfId="56" applyFont="1" applyFill="1" applyBorder="1" applyAlignment="1" applyProtection="1">
      <alignment horizontal="right"/>
      <protection locked="0"/>
    </xf>
    <xf numFmtId="164" fontId="9" fillId="0" borderId="75" xfId="56" applyFont="1" applyFill="1" applyBorder="1" applyAlignment="1" applyProtection="1">
      <alignment horizontal="right"/>
      <protection locked="0"/>
    </xf>
    <xf numFmtId="0" fontId="9" fillId="16" borderId="4" xfId="2" applyFont="1" applyFill="1" applyBorder="1" applyAlignment="1" applyProtection="1">
      <alignment wrapText="1"/>
    </xf>
    <xf numFmtId="0" fontId="9" fillId="0" borderId="78" xfId="2" applyFont="1" applyFill="1" applyBorder="1" applyAlignment="1" applyProtection="1">
      <alignment wrapText="1"/>
    </xf>
    <xf numFmtId="1" fontId="5" fillId="0" borderId="4" xfId="56" applyNumberFormat="1" applyFont="1" applyBorder="1" applyAlignment="1" applyProtection="1">
      <alignment horizontal="right"/>
    </xf>
    <xf numFmtId="0" fontId="5" fillId="16" borderId="80" xfId="2" applyFont="1" applyFill="1" applyBorder="1" applyAlignment="1" applyProtection="1">
      <alignment wrapText="1"/>
    </xf>
    <xf numFmtId="1" fontId="5" fillId="16" borderId="80" xfId="56" applyNumberFormat="1" applyFont="1" applyFill="1" applyBorder="1" applyAlignment="1" applyProtection="1">
      <alignment horizontal="right"/>
    </xf>
    <xf numFmtId="0" fontId="5" fillId="16" borderId="83" xfId="2" applyFont="1" applyFill="1" applyBorder="1" applyAlignment="1" applyProtection="1">
      <alignment wrapText="1"/>
    </xf>
    <xf numFmtId="1" fontId="5" fillId="16" borderId="83" xfId="56" applyNumberFormat="1" applyFont="1" applyFill="1" applyBorder="1" applyAlignment="1" applyProtection="1">
      <alignment horizontal="right"/>
    </xf>
    <xf numFmtId="1" fontId="5" fillId="16" borderId="84" xfId="56" applyNumberFormat="1" applyFont="1" applyFill="1" applyBorder="1" applyAlignment="1" applyProtection="1">
      <alignment horizontal="right"/>
    </xf>
    <xf numFmtId="1" fontId="5" fillId="16" borderId="86" xfId="56" applyNumberFormat="1" applyFont="1" applyFill="1" applyBorder="1" applyAlignment="1" applyProtection="1">
      <alignment horizontal="right"/>
    </xf>
    <xf numFmtId="0" fontId="5" fillId="0" borderId="98" xfId="2" applyFont="1" applyFill="1" applyBorder="1" applyAlignment="1" applyProtection="1">
      <alignment wrapText="1"/>
      <protection locked="0"/>
    </xf>
    <xf numFmtId="0" fontId="9" fillId="0" borderId="0" xfId="2" applyFont="1" applyFill="1" applyBorder="1" applyAlignment="1" applyProtection="1">
      <alignment vertical="top" wrapText="1"/>
      <protection locked="0"/>
    </xf>
    <xf numFmtId="1" fontId="5" fillId="0" borderId="78" xfId="56" applyNumberFormat="1" applyFont="1" applyBorder="1" applyAlignment="1" applyProtection="1">
      <alignment horizontal="right"/>
      <protection locked="0"/>
    </xf>
    <xf numFmtId="1" fontId="5" fillId="0" borderId="0" xfId="56" applyNumberFormat="1" applyFont="1" applyBorder="1" applyAlignment="1" applyProtection="1">
      <alignment horizontal="right"/>
      <protection locked="0"/>
    </xf>
    <xf numFmtId="0" fontId="9" fillId="0" borderId="0" xfId="2" applyFont="1" applyFill="1" applyBorder="1" applyAlignment="1" applyProtection="1">
      <alignment wrapText="1"/>
      <protection locked="0"/>
    </xf>
    <xf numFmtId="0" fontId="5" fillId="17" borderId="0" xfId="2" applyFont="1" applyFill="1" applyProtection="1">
      <protection locked="0"/>
    </xf>
    <xf numFmtId="0" fontId="9" fillId="16" borderId="107" xfId="2" applyFont="1" applyFill="1" applyBorder="1" applyAlignment="1" applyProtection="1">
      <alignment horizontal="center"/>
    </xf>
    <xf numFmtId="0" fontId="9" fillId="16" borderId="8" xfId="2" applyFont="1" applyFill="1" applyBorder="1" applyAlignment="1" applyProtection="1">
      <alignment horizontal="center"/>
    </xf>
    <xf numFmtId="0" fontId="9" fillId="16" borderId="108" xfId="2" applyFont="1" applyFill="1" applyBorder="1" applyAlignment="1" applyProtection="1">
      <alignment horizontal="center"/>
    </xf>
    <xf numFmtId="0" fontId="5" fillId="0" borderId="51" xfId="2" applyFont="1" applyBorder="1" applyAlignment="1" applyProtection="1">
      <alignment vertical="center" wrapText="1"/>
      <protection locked="0"/>
    </xf>
    <xf numFmtId="0" fontId="5" fillId="0" borderId="48" xfId="2" applyFont="1" applyBorder="1" applyAlignment="1" applyProtection="1">
      <alignment vertical="center" wrapText="1"/>
      <protection locked="0"/>
    </xf>
    <xf numFmtId="0" fontId="5" fillId="0" borderId="49" xfId="2" applyFont="1" applyBorder="1" applyAlignment="1" applyProtection="1">
      <alignment vertical="center" wrapText="1"/>
      <protection locked="0"/>
    </xf>
    <xf numFmtId="0" fontId="5" fillId="0" borderId="50" xfId="2" applyFont="1" applyBorder="1" applyAlignment="1" applyProtection="1">
      <alignment vertical="center" wrapText="1"/>
      <protection locked="0"/>
    </xf>
    <xf numFmtId="49" fontId="4" fillId="0" borderId="1" xfId="2" applyNumberFormat="1" applyFill="1" applyBorder="1" applyAlignment="1">
      <alignment wrapText="1"/>
    </xf>
    <xf numFmtId="49" fontId="31" fillId="0" borderId="1" xfId="2" applyNumberFormat="1" applyFont="1" applyFill="1" applyBorder="1" applyAlignment="1">
      <alignment wrapText="1"/>
    </xf>
    <xf numFmtId="166" fontId="31" fillId="0" borderId="1" xfId="2" applyNumberFormat="1" applyFont="1" applyFill="1" applyBorder="1"/>
    <xf numFmtId="49" fontId="4" fillId="0" borderId="1" xfId="2" applyNumberFormat="1" applyFill="1" applyBorder="1"/>
    <xf numFmtId="166" fontId="4" fillId="0" borderId="1" xfId="2" applyNumberFormat="1" applyFill="1" applyBorder="1"/>
    <xf numFmtId="2" fontId="5" fillId="0" borderId="1" xfId="2" applyNumberFormat="1" applyFont="1" applyBorder="1" applyProtection="1">
      <protection locked="0"/>
    </xf>
    <xf numFmtId="2" fontId="19" fillId="17" borderId="51" xfId="2" applyNumberFormat="1" applyFont="1" applyFill="1" applyBorder="1" applyAlignment="1">
      <alignment horizontal="center" vertical="center" wrapText="1"/>
    </xf>
    <xf numFmtId="2" fontId="5" fillId="0" borderId="48" xfId="2" applyNumberFormat="1" applyFont="1" applyBorder="1" applyProtection="1">
      <protection locked="0"/>
    </xf>
    <xf numFmtId="1" fontId="38" fillId="0" borderId="49" xfId="2" applyNumberFormat="1" applyFont="1" applyBorder="1"/>
    <xf numFmtId="0" fontId="5" fillId="0" borderId="50" xfId="2" applyFont="1" applyBorder="1" applyProtection="1">
      <protection locked="0"/>
    </xf>
    <xf numFmtId="2" fontId="2" fillId="0" borderId="48" xfId="61" applyNumberFormat="1" applyBorder="1" applyAlignment="1">
      <alignment horizontal="right"/>
    </xf>
    <xf numFmtId="0" fontId="9" fillId="0" borderId="51" xfId="2" applyFont="1" applyBorder="1" applyAlignment="1" applyProtection="1">
      <alignment horizontal="center" vertical="center" wrapText="1"/>
      <protection locked="0"/>
    </xf>
    <xf numFmtId="0" fontId="9" fillId="0" borderId="49" xfId="2" applyFont="1" applyBorder="1" applyAlignment="1" applyProtection="1">
      <alignment horizontal="center" vertical="center" wrapText="1"/>
      <protection locked="0"/>
    </xf>
    <xf numFmtId="4" fontId="5" fillId="0" borderId="50" xfId="2" applyNumberFormat="1" applyFont="1" applyBorder="1" applyAlignment="1" applyProtection="1">
      <alignment vertical="center" wrapText="1"/>
      <protection locked="0"/>
    </xf>
    <xf numFmtId="164" fontId="9" fillId="16" borderId="56" xfId="56" applyFont="1" applyFill="1" applyBorder="1" applyAlignment="1" applyProtection="1">
      <alignment horizontal="center"/>
    </xf>
    <xf numFmtId="164" fontId="9" fillId="16" borderId="15" xfId="56" applyFont="1" applyFill="1" applyBorder="1" applyAlignment="1" applyProtection="1">
      <alignment horizontal="center"/>
    </xf>
    <xf numFmtId="0" fontId="5" fillId="0" borderId="63" xfId="56" applyNumberFormat="1" applyFont="1" applyFill="1" applyBorder="1" applyAlignment="1" applyProtection="1">
      <alignment horizontal="right"/>
      <protection locked="0"/>
    </xf>
    <xf numFmtId="0" fontId="5" fillId="0" borderId="48" xfId="2" applyFont="1" applyBorder="1" applyAlignment="1">
      <alignment wrapText="1"/>
    </xf>
    <xf numFmtId="0" fontId="5" fillId="0" borderId="49" xfId="2" applyFont="1" applyBorder="1" applyAlignment="1">
      <alignment wrapText="1"/>
    </xf>
    <xf numFmtId="0" fontId="9" fillId="0" borderId="91" xfId="2" applyFont="1" applyFill="1" applyBorder="1" applyAlignment="1" applyProtection="1">
      <alignment wrapText="1"/>
      <protection locked="0"/>
    </xf>
    <xf numFmtId="0" fontId="5" fillId="0" borderId="50" xfId="2" applyFont="1" applyFill="1" applyBorder="1" applyAlignment="1" applyProtection="1">
      <alignment wrapText="1"/>
      <protection locked="0"/>
    </xf>
    <xf numFmtId="0" fontId="5" fillId="0" borderId="91" xfId="2" applyFont="1" applyFill="1" applyBorder="1" applyAlignment="1" applyProtection="1">
      <alignment horizontal="left" wrapText="1"/>
      <protection locked="0"/>
    </xf>
    <xf numFmtId="0" fontId="9" fillId="0" borderId="82" xfId="2" applyFont="1" applyFill="1" applyBorder="1" applyAlignment="1" applyProtection="1">
      <alignment horizontal="left" wrapText="1"/>
      <protection locked="0"/>
    </xf>
    <xf numFmtId="0" fontId="9" fillId="0" borderId="91" xfId="2" applyFont="1" applyFill="1" applyBorder="1" applyAlignment="1" applyProtection="1">
      <alignment horizontal="left" wrapText="1"/>
      <protection locked="0"/>
    </xf>
    <xf numFmtId="0" fontId="9" fillId="0" borderId="50" xfId="2" applyFont="1" applyFill="1" applyBorder="1" applyAlignment="1" applyProtection="1">
      <alignment horizontal="left" wrapText="1"/>
      <protection locked="0"/>
    </xf>
    <xf numFmtId="9" fontId="9" fillId="0" borderId="91" xfId="2" applyNumberFormat="1" applyFont="1" applyFill="1" applyBorder="1" applyAlignment="1" applyProtection="1">
      <alignment horizontal="left" wrapText="1"/>
      <protection locked="0"/>
    </xf>
    <xf numFmtId="9" fontId="5" fillId="0" borderId="50" xfId="2" applyNumberFormat="1" applyFont="1" applyFill="1" applyBorder="1" applyAlignment="1" applyProtection="1">
      <alignment horizontal="left" wrapText="1"/>
      <protection locked="0"/>
    </xf>
    <xf numFmtId="0" fontId="5" fillId="0" borderId="11" xfId="2" applyFont="1" applyFill="1" applyBorder="1" applyAlignment="1" applyProtection="1">
      <alignment wrapText="1"/>
      <protection locked="0"/>
    </xf>
    <xf numFmtId="0" fontId="5" fillId="0" borderId="55" xfId="2" applyFont="1" applyFill="1" applyBorder="1" applyAlignment="1" applyProtection="1">
      <alignment wrapText="1"/>
      <protection locked="0"/>
    </xf>
    <xf numFmtId="0" fontId="0" fillId="17" borderId="95" xfId="0" applyNumberFormat="1" applyFill="1" applyBorder="1"/>
    <xf numFmtId="0" fontId="0" fillId="17" borderId="95" xfId="0" applyNumberFormat="1" applyFill="1" applyBorder="1" applyAlignment="1">
      <alignment horizontal="left"/>
    </xf>
    <xf numFmtId="0" fontId="9" fillId="16" borderId="109" xfId="2" applyFont="1" applyFill="1" applyBorder="1" applyAlignment="1" applyProtection="1">
      <alignment horizontal="center"/>
    </xf>
    <xf numFmtId="0" fontId="9" fillId="16" borderId="110" xfId="2" applyFont="1" applyFill="1" applyBorder="1" applyAlignment="1" applyProtection="1">
      <alignment horizontal="center"/>
    </xf>
    <xf numFmtId="0" fontId="5" fillId="0" borderId="90" xfId="2" applyFont="1" applyBorder="1" applyAlignment="1" applyProtection="1">
      <alignment horizontal="center" vertical="center" wrapText="1"/>
      <protection locked="0"/>
    </xf>
    <xf numFmtId="0" fontId="12" fillId="0" borderId="83" xfId="2" applyFont="1" applyBorder="1" applyAlignment="1">
      <alignment wrapText="1"/>
    </xf>
    <xf numFmtId="0" fontId="17" fillId="0" borderId="90" xfId="2" applyFont="1" applyBorder="1" applyAlignment="1" applyProtection="1">
      <alignment vertical="center" wrapText="1"/>
      <protection locked="0"/>
    </xf>
    <xf numFmtId="164" fontId="5" fillId="0" borderId="48" xfId="2" applyNumberFormat="1" applyFont="1" applyBorder="1" applyAlignment="1" applyProtection="1">
      <alignment vertical="center" wrapText="1"/>
      <protection locked="0"/>
    </xf>
    <xf numFmtId="0" fontId="4" fillId="17" borderId="83" xfId="2" applyNumberFormat="1" applyFill="1" applyBorder="1" applyAlignment="1">
      <alignment wrapText="1"/>
    </xf>
    <xf numFmtId="0" fontId="22" fillId="0" borderId="91" xfId="2" applyFont="1" applyBorder="1" applyAlignment="1" applyProtection="1">
      <alignment wrapText="1"/>
      <protection locked="0"/>
    </xf>
    <xf numFmtId="2" fontId="31" fillId="17" borderId="91" xfId="2" applyNumberFormat="1" applyFont="1" applyFill="1" applyBorder="1"/>
    <xf numFmtId="0" fontId="4" fillId="17" borderId="91" xfId="2" applyNumberFormat="1" applyFill="1" applyBorder="1"/>
    <xf numFmtId="0" fontId="19" fillId="17" borderId="49" xfId="2" applyFont="1" applyFill="1" applyBorder="1" applyAlignment="1">
      <alignment horizontal="center" vertical="center" wrapText="1"/>
    </xf>
    <xf numFmtId="0" fontId="39" fillId="18" borderId="50" xfId="2" applyFont="1" applyFill="1" applyBorder="1" applyAlignment="1">
      <alignment vertical="center"/>
    </xf>
    <xf numFmtId="1" fontId="14" fillId="0" borderId="1" xfId="2" applyNumberFormat="1" applyFont="1" applyBorder="1"/>
    <xf numFmtId="2" fontId="4" fillId="17" borderId="1" xfId="2" applyNumberFormat="1" applyFont="1" applyFill="1" applyBorder="1" applyAlignment="1">
      <alignment horizontal="center" vertical="center"/>
    </xf>
    <xf numFmtId="0" fontId="4" fillId="17" borderId="1" xfId="2" applyNumberFormat="1" applyFill="1" applyBorder="1"/>
    <xf numFmtId="0" fontId="4" fillId="17" borderId="51" xfId="2" applyNumberFormat="1" applyFill="1" applyBorder="1"/>
    <xf numFmtId="0" fontId="5" fillId="0" borderId="1" xfId="2" applyFont="1" applyBorder="1" applyAlignment="1" applyProtection="1">
      <alignment wrapText="1"/>
      <protection locked="0"/>
    </xf>
    <xf numFmtId="49" fontId="4" fillId="17" borderId="92" xfId="2" applyNumberFormat="1" applyFill="1" applyBorder="1"/>
    <xf numFmtId="0" fontId="22" fillId="0" borderId="50" xfId="2" applyFont="1" applyBorder="1" applyProtection="1">
      <protection locked="0"/>
    </xf>
    <xf numFmtId="0" fontId="4" fillId="17" borderId="83" xfId="2" applyNumberFormat="1" applyFont="1" applyFill="1" applyBorder="1" applyAlignment="1">
      <alignment wrapText="1"/>
    </xf>
    <xf numFmtId="2" fontId="41" fillId="0" borderId="1" xfId="2" applyNumberFormat="1" applyFont="1" applyBorder="1" applyAlignment="1" applyProtection="1">
      <alignment wrapText="1"/>
      <protection locked="0"/>
    </xf>
    <xf numFmtId="2" fontId="4" fillId="0" borderId="1" xfId="2" applyNumberFormat="1" applyBorder="1"/>
    <xf numFmtId="0" fontId="4" fillId="17" borderId="83" xfId="2" applyNumberFormat="1" applyFont="1" applyFill="1" applyBorder="1"/>
    <xf numFmtId="0" fontId="42" fillId="0" borderId="1" xfId="2" applyFont="1" applyBorder="1" applyAlignment="1">
      <alignment horizontal="right" vertical="center" wrapText="1"/>
    </xf>
    <xf numFmtId="0" fontId="4" fillId="17" borderId="83" xfId="2" applyNumberFormat="1" applyFill="1" applyBorder="1"/>
    <xf numFmtId="0" fontId="5" fillId="0" borderId="83" xfId="2" applyFont="1" applyBorder="1" applyAlignment="1" applyProtection="1">
      <alignment horizontal="left" vertical="center" wrapText="1"/>
      <protection locked="0"/>
    </xf>
    <xf numFmtId="0" fontId="5" fillId="0" borderId="50" xfId="2" applyFont="1" applyBorder="1" applyAlignment="1" applyProtection="1">
      <alignment horizontal="center" vertical="center" wrapText="1"/>
      <protection locked="0"/>
    </xf>
    <xf numFmtId="0" fontId="5" fillId="0" borderId="95" xfId="2" applyFont="1" applyFill="1" applyBorder="1" applyProtection="1">
      <protection locked="0"/>
    </xf>
    <xf numFmtId="0" fontId="9" fillId="0" borderId="1" xfId="2" applyFont="1" applyFill="1" applyBorder="1" applyAlignment="1" applyProtection="1">
      <alignment wrapText="1"/>
      <protection locked="0"/>
    </xf>
    <xf numFmtId="0" fontId="5" fillId="0" borderId="1" xfId="2" applyFont="1" applyFill="1" applyBorder="1" applyAlignment="1" applyProtection="1">
      <alignment wrapText="1"/>
      <protection locked="0"/>
    </xf>
    <xf numFmtId="9" fontId="5" fillId="0" borderId="1" xfId="2" applyNumberFormat="1" applyFont="1" applyFill="1" applyBorder="1" applyAlignment="1" applyProtection="1">
      <alignment horizontal="left" wrapText="1"/>
      <protection locked="0"/>
    </xf>
    <xf numFmtId="9" fontId="9" fillId="0" borderId="1" xfId="2" applyNumberFormat="1" applyFont="1" applyFill="1" applyBorder="1" applyAlignment="1" applyProtection="1">
      <alignment horizontal="left" wrapText="1"/>
      <protection locked="0"/>
    </xf>
    <xf numFmtId="0" fontId="17" fillId="0" borderId="79" xfId="2" applyFont="1" applyBorder="1" applyAlignment="1" applyProtection="1">
      <alignment vertical="center" wrapText="1"/>
      <protection locked="0"/>
    </xf>
    <xf numFmtId="0" fontId="22" fillId="0" borderId="82" xfId="2" applyFont="1" applyBorder="1" applyAlignment="1" applyProtection="1">
      <alignment wrapText="1"/>
      <protection locked="0"/>
    </xf>
    <xf numFmtId="0" fontId="9" fillId="0" borderId="82" xfId="2" applyFont="1" applyBorder="1" applyAlignment="1" applyProtection="1">
      <alignment wrapText="1"/>
      <protection locked="0"/>
    </xf>
    <xf numFmtId="167" fontId="9" fillId="0" borderId="91" xfId="2" applyNumberFormat="1" applyFont="1" applyBorder="1" applyProtection="1">
      <protection locked="0"/>
    </xf>
    <xf numFmtId="164" fontId="9" fillId="0" borderId="91" xfId="2" applyNumberFormat="1" applyFont="1" applyBorder="1" applyProtection="1">
      <protection locked="0"/>
    </xf>
    <xf numFmtId="0" fontId="9" fillId="0" borderId="98" xfId="2" applyFont="1" applyBorder="1" applyAlignment="1" applyProtection="1">
      <alignment wrapText="1"/>
      <protection locked="0"/>
    </xf>
    <xf numFmtId="164" fontId="9" fillId="0" borderId="11" xfId="2" applyNumberFormat="1" applyFont="1" applyBorder="1" applyProtection="1">
      <protection locked="0"/>
    </xf>
    <xf numFmtId="0" fontId="1" fillId="17" borderId="1" xfId="0" applyFont="1" applyFill="1" applyBorder="1"/>
    <xf numFmtId="0" fontId="1" fillId="17" borderId="1" xfId="0" applyFont="1" applyFill="1" applyBorder="1" applyAlignment="1">
      <alignment horizontal="left"/>
    </xf>
    <xf numFmtId="0" fontId="1" fillId="17" borderId="51" xfId="0" applyFont="1" applyFill="1" applyBorder="1" applyAlignment="1">
      <alignment horizontal="left"/>
    </xf>
    <xf numFmtId="0" fontId="1" fillId="2" borderId="1" xfId="0" applyFont="1" applyFill="1" applyBorder="1" applyAlignment="1">
      <alignment wrapText="1"/>
    </xf>
    <xf numFmtId="0" fontId="1" fillId="17" borderId="1" xfId="0" applyFont="1" applyFill="1" applyBorder="1" applyAlignment="1">
      <alignment wrapText="1"/>
    </xf>
    <xf numFmtId="49" fontId="0" fillId="17" borderId="1" xfId="0" applyNumberFormat="1" applyFill="1" applyBorder="1"/>
    <xf numFmtId="166" fontId="0" fillId="17" borderId="1" xfId="0" applyNumberFormat="1" applyFill="1" applyBorder="1"/>
    <xf numFmtId="49" fontId="0" fillId="17" borderId="51" xfId="0" applyNumberFormat="1" applyFill="1" applyBorder="1"/>
    <xf numFmtId="2" fontId="4" fillId="0" borderId="1" xfId="0" applyNumberFormat="1" applyFont="1" applyBorder="1" applyAlignment="1">
      <alignment horizontal="center"/>
    </xf>
    <xf numFmtId="2" fontId="4" fillId="2" borderId="1" xfId="0" applyNumberFormat="1" applyFont="1" applyFill="1" applyBorder="1" applyAlignment="1">
      <alignment horizontal="center"/>
    </xf>
    <xf numFmtId="9" fontId="1" fillId="17" borderId="1" xfId="1" applyFont="1" applyFill="1" applyBorder="1"/>
    <xf numFmtId="49" fontId="0" fillId="17" borderId="1" xfId="0" applyNumberFormat="1" applyFill="1" applyBorder="1" applyAlignment="1">
      <alignment wrapText="1"/>
    </xf>
    <xf numFmtId="172" fontId="0" fillId="17" borderId="1" xfId="0" applyNumberFormat="1" applyFill="1" applyBorder="1"/>
    <xf numFmtId="4" fontId="0" fillId="17" borderId="1" xfId="0" applyNumberFormat="1" applyFill="1" applyBorder="1"/>
    <xf numFmtId="0" fontId="0" fillId="17" borderId="1" xfId="0" applyFill="1" applyBorder="1"/>
    <xf numFmtId="0" fontId="1" fillId="17" borderId="1" xfId="0" applyNumberFormat="1" applyFont="1" applyFill="1" applyBorder="1"/>
    <xf numFmtId="2" fontId="4" fillId="0" borderId="89" xfId="0" applyNumberFormat="1" applyFont="1" applyBorder="1" applyAlignment="1">
      <alignment horizontal="center"/>
    </xf>
    <xf numFmtId="2" fontId="4" fillId="2" borderId="89" xfId="0" applyNumberFormat="1" applyFont="1" applyFill="1" applyBorder="1" applyAlignment="1">
      <alignment horizontal="center" wrapText="1"/>
    </xf>
    <xf numFmtId="164" fontId="9" fillId="16" borderId="43" xfId="63" applyFont="1" applyFill="1" applyBorder="1" applyAlignment="1" applyProtection="1">
      <alignment horizontal="center"/>
    </xf>
    <xf numFmtId="164" fontId="9" fillId="16" borderId="45" xfId="63" applyFont="1" applyFill="1" applyBorder="1" applyAlignment="1" applyProtection="1">
      <alignment horizontal="center"/>
    </xf>
    <xf numFmtId="164" fontId="9" fillId="16" borderId="46" xfId="63" applyFont="1" applyFill="1" applyBorder="1" applyAlignment="1" applyProtection="1">
      <alignment horizontal="center"/>
    </xf>
    <xf numFmtId="2" fontId="4" fillId="0" borderId="50" xfId="0" applyNumberFormat="1" applyFont="1" applyBorder="1" applyAlignment="1">
      <alignment horizontal="center"/>
    </xf>
    <xf numFmtId="49" fontId="43" fillId="2" borderId="76" xfId="0" applyNumberFormat="1" applyFont="1" applyFill="1" applyBorder="1"/>
    <xf numFmtId="49" fontId="0" fillId="2" borderId="111" xfId="0" applyNumberFormat="1" applyFill="1" applyBorder="1"/>
    <xf numFmtId="164" fontId="9" fillId="2" borderId="112" xfId="63" applyNumberFormat="1" applyFont="1" applyFill="1" applyBorder="1" applyAlignment="1" applyProtection="1">
      <alignment horizontal="center"/>
    </xf>
    <xf numFmtId="2" fontId="23" fillId="0" borderId="50" xfId="0" applyNumberFormat="1" applyFont="1" applyBorder="1" applyAlignment="1">
      <alignment horizontal="center"/>
    </xf>
    <xf numFmtId="2" fontId="23" fillId="0" borderId="1" xfId="0" applyNumberFormat="1" applyFont="1" applyBorder="1" applyAlignment="1">
      <alignment horizontal="center"/>
    </xf>
    <xf numFmtId="9" fontId="44" fillId="17" borderId="1" xfId="1" applyFont="1" applyFill="1" applyBorder="1"/>
    <xf numFmtId="2" fontId="31" fillId="2" borderId="1" xfId="0" applyNumberFormat="1" applyFont="1" applyFill="1" applyBorder="1" applyAlignment="1">
      <alignment horizontal="center"/>
    </xf>
    <xf numFmtId="2" fontId="4" fillId="2" borderId="89" xfId="0" applyNumberFormat="1" applyFont="1" applyFill="1" applyBorder="1" applyAlignment="1">
      <alignment horizontal="center"/>
    </xf>
    <xf numFmtId="4" fontId="0" fillId="17" borderId="89" xfId="0" applyNumberFormat="1" applyFill="1" applyBorder="1"/>
    <xf numFmtId="2" fontId="4" fillId="0" borderId="43" xfId="0" applyNumberFormat="1" applyFont="1" applyBorder="1" applyAlignment="1">
      <alignment horizontal="center"/>
    </xf>
    <xf numFmtId="2" fontId="4" fillId="2" borderId="45" xfId="0" applyNumberFormat="1" applyFont="1" applyFill="1" applyBorder="1" applyAlignment="1">
      <alignment horizontal="center" wrapText="1"/>
    </xf>
    <xf numFmtId="2" fontId="4" fillId="0" borderId="46" xfId="0" applyNumberFormat="1" applyFont="1" applyBorder="1" applyAlignment="1">
      <alignment horizontal="center"/>
    </xf>
    <xf numFmtId="164" fontId="9" fillId="16" borderId="93" xfId="63" applyFont="1" applyFill="1" applyBorder="1" applyAlignment="1" applyProtection="1">
      <alignment horizontal="center"/>
    </xf>
    <xf numFmtId="164" fontId="9" fillId="16" borderId="89" xfId="63" applyFont="1" applyFill="1" applyBorder="1" applyAlignment="1" applyProtection="1">
      <alignment horizontal="center"/>
    </xf>
    <xf numFmtId="164" fontId="9" fillId="16" borderId="113" xfId="63" applyFont="1" applyFill="1" applyBorder="1" applyAlignment="1" applyProtection="1">
      <alignment horizontal="center"/>
    </xf>
    <xf numFmtId="49" fontId="0" fillId="17" borderId="50" xfId="0" applyNumberFormat="1" applyFill="1" applyBorder="1"/>
    <xf numFmtId="0" fontId="1" fillId="17" borderId="95" xfId="0" applyFont="1" applyFill="1" applyBorder="1"/>
    <xf numFmtId="0" fontId="0" fillId="17" borderId="51" xfId="0" applyFill="1" applyBorder="1"/>
    <xf numFmtId="0" fontId="6" fillId="16" borderId="4" xfId="2" applyFont="1" applyFill="1" applyBorder="1" applyAlignment="1" applyProtection="1">
      <alignment horizontal="center"/>
    </xf>
    <xf numFmtId="0" fontId="6" fillId="16" borderId="5" xfId="2" applyFont="1" applyFill="1" applyBorder="1" applyAlignment="1" applyProtection="1">
      <alignment horizontal="center"/>
    </xf>
    <xf numFmtId="0" fontId="7" fillId="16" borderId="4" xfId="2" applyFont="1" applyFill="1" applyBorder="1" applyAlignment="1" applyProtection="1">
      <alignment horizontal="center"/>
    </xf>
    <xf numFmtId="0" fontId="7" fillId="16" borderId="5" xfId="2" applyFont="1" applyFill="1" applyBorder="1" applyAlignment="1" applyProtection="1">
      <alignment horizontal="center"/>
    </xf>
    <xf numFmtId="0" fontId="9" fillId="16" borderId="20" xfId="2" applyFont="1" applyFill="1" applyBorder="1" applyAlignment="1" applyProtection="1">
      <alignment horizontal="center" vertical="center" wrapText="1"/>
    </xf>
    <xf numFmtId="0" fontId="9" fillId="0" borderId="0" xfId="2" applyFont="1" applyFill="1" applyBorder="1" applyAlignment="1" applyProtection="1">
      <alignment horizontal="left" vertical="top"/>
      <protection locked="0"/>
    </xf>
    <xf numFmtId="0" fontId="5" fillId="16" borderId="59" xfId="2" applyFont="1" applyFill="1" applyBorder="1" applyAlignment="1" applyProtection="1">
      <alignment horizontal="left"/>
    </xf>
    <xf numFmtId="0" fontId="5" fillId="16" borderId="64" xfId="2" applyFont="1" applyFill="1" applyBorder="1" applyAlignment="1" applyProtection="1">
      <alignment horizontal="left"/>
    </xf>
    <xf numFmtId="0" fontId="5" fillId="16" borderId="65" xfId="2" applyFont="1" applyFill="1" applyBorder="1" applyAlignment="1" applyProtection="1">
      <alignment horizontal="left"/>
    </xf>
    <xf numFmtId="0" fontId="5" fillId="16" borderId="70" xfId="2" applyFont="1" applyFill="1" applyBorder="1" applyAlignment="1" applyProtection="1">
      <alignment horizontal="left"/>
    </xf>
    <xf numFmtId="0" fontId="5" fillId="16" borderId="71" xfId="2" applyFont="1" applyFill="1" applyBorder="1" applyAlignment="1" applyProtection="1">
      <alignment horizontal="left"/>
    </xf>
    <xf numFmtId="2" fontId="9" fillId="2" borderId="112" xfId="63" applyNumberFormat="1" applyFont="1" applyFill="1" applyBorder="1" applyAlignment="1" applyProtection="1">
      <alignment horizontal="center"/>
    </xf>
    <xf numFmtId="0" fontId="0" fillId="17" borderId="1" xfId="0" applyNumberFormat="1" applyFill="1" applyBorder="1" applyAlignment="1">
      <alignment wrapText="1"/>
    </xf>
    <xf numFmtId="0" fontId="0" fillId="0" borderId="0" xfId="0" applyNumberFormat="1"/>
    <xf numFmtId="0" fontId="45" fillId="18" borderId="77" xfId="0" applyNumberFormat="1" applyFont="1" applyFill="1" applyBorder="1" applyAlignment="1">
      <alignment vertical="center"/>
    </xf>
    <xf numFmtId="0" fontId="45" fillId="18" borderId="5" xfId="0" applyNumberFormat="1" applyFont="1" applyFill="1" applyBorder="1" applyAlignment="1">
      <alignment vertical="center"/>
    </xf>
    <xf numFmtId="0" fontId="19" fillId="18" borderId="57" xfId="0" applyNumberFormat="1" applyFont="1" applyFill="1" applyBorder="1" applyAlignment="1">
      <alignment vertical="center"/>
    </xf>
    <xf numFmtId="0" fontId="19" fillId="18" borderId="15" xfId="0" applyNumberFormat="1" applyFont="1" applyFill="1" applyBorder="1" applyAlignment="1">
      <alignment horizontal="right" vertical="center"/>
    </xf>
    <xf numFmtId="0" fontId="19" fillId="18" borderId="15" xfId="0" applyNumberFormat="1" applyFont="1" applyFill="1" applyBorder="1" applyAlignment="1">
      <alignment vertical="center"/>
    </xf>
    <xf numFmtId="0" fontId="19" fillId="18" borderId="15" xfId="0" applyNumberFormat="1" applyFont="1" applyFill="1" applyBorder="1" applyAlignment="1">
      <alignment vertical="center" wrapText="1"/>
    </xf>
    <xf numFmtId="0" fontId="46" fillId="18" borderId="15" xfId="0" applyNumberFormat="1" applyFont="1" applyFill="1" applyBorder="1" applyAlignment="1">
      <alignment horizontal="right" vertical="center"/>
    </xf>
    <xf numFmtId="0" fontId="45" fillId="18" borderId="15" xfId="0" applyNumberFormat="1" applyFont="1" applyFill="1" applyBorder="1" applyAlignment="1">
      <alignment horizontal="right" vertical="center"/>
    </xf>
    <xf numFmtId="0" fontId="45" fillId="18" borderId="15" xfId="0" applyNumberFormat="1" applyFont="1" applyFill="1" applyBorder="1" applyAlignment="1">
      <alignment vertical="center"/>
    </xf>
    <xf numFmtId="0" fontId="19" fillId="18" borderId="14" xfId="0" applyNumberFormat="1" applyFont="1" applyFill="1" applyBorder="1" applyAlignment="1">
      <alignment vertical="center"/>
    </xf>
    <xf numFmtId="0" fontId="45" fillId="2" borderId="57" xfId="0" applyNumberFormat="1" applyFont="1" applyFill="1" applyBorder="1" applyAlignment="1">
      <alignment vertical="center"/>
    </xf>
    <xf numFmtId="9" fontId="0" fillId="0" borderId="0" xfId="1" applyFont="1"/>
    <xf numFmtId="0" fontId="19" fillId="18" borderId="1" xfId="0" applyNumberFormat="1" applyFont="1" applyFill="1" applyBorder="1" applyAlignment="1">
      <alignment vertical="center"/>
    </xf>
    <xf numFmtId="0" fontId="19" fillId="18" borderId="1" xfId="0" applyNumberFormat="1" applyFont="1" applyFill="1" applyBorder="1" applyAlignment="1">
      <alignment horizontal="right" vertical="center"/>
    </xf>
    <xf numFmtId="0" fontId="9" fillId="0" borderId="113" xfId="2" applyFont="1" applyFill="1" applyBorder="1" applyAlignment="1" applyProtection="1">
      <alignment horizontal="center" vertical="center" wrapText="1"/>
      <protection locked="0"/>
    </xf>
    <xf numFmtId="0" fontId="9" fillId="16" borderId="9" xfId="2" applyFont="1" applyFill="1" applyBorder="1" applyAlignment="1" applyProtection="1">
      <alignment horizontal="center" vertical="center" wrapText="1"/>
    </xf>
    <xf numFmtId="0" fontId="12" fillId="0" borderId="115" xfId="2" applyFont="1" applyBorder="1" applyAlignment="1">
      <alignment wrapText="1"/>
    </xf>
    <xf numFmtId="0" fontId="12" fillId="0" borderId="90" xfId="2" applyFont="1" applyBorder="1" applyAlignment="1">
      <alignment wrapText="1"/>
    </xf>
    <xf numFmtId="164" fontId="5" fillId="0" borderId="43" xfId="2" applyNumberFormat="1" applyFont="1" applyBorder="1" applyAlignment="1" applyProtection="1">
      <alignment vertical="center" wrapText="1"/>
      <protection locked="0"/>
    </xf>
    <xf numFmtId="164" fontId="5" fillId="0" borderId="47" xfId="2" applyNumberFormat="1" applyFont="1" applyBorder="1" applyAlignment="1" applyProtection="1">
      <alignment vertical="center" wrapText="1"/>
      <protection locked="0"/>
    </xf>
    <xf numFmtId="0" fontId="19" fillId="18" borderId="1" xfId="2" applyFont="1" applyFill="1" applyBorder="1" applyAlignment="1">
      <alignment vertical="center"/>
    </xf>
    <xf numFmtId="2" fontId="19" fillId="18" borderId="51" xfId="2" applyNumberFormat="1" applyFont="1" applyFill="1" applyBorder="1" applyAlignment="1">
      <alignment vertical="center"/>
    </xf>
    <xf numFmtId="0" fontId="19" fillId="18" borderId="48" xfId="2" applyFont="1" applyFill="1" applyBorder="1" applyAlignment="1">
      <alignment vertical="center"/>
    </xf>
    <xf numFmtId="0" fontId="37" fillId="18" borderId="92" xfId="2" applyFont="1" applyFill="1" applyBorder="1" applyAlignment="1">
      <alignment vertical="center"/>
    </xf>
    <xf numFmtId="0" fontId="19" fillId="18" borderId="50" xfId="2" applyFont="1" applyFill="1" applyBorder="1" applyAlignment="1">
      <alignment vertical="center"/>
    </xf>
    <xf numFmtId="0" fontId="37" fillId="18" borderId="48" xfId="2" applyFont="1" applyFill="1" applyBorder="1" applyAlignment="1">
      <alignment vertical="center"/>
    </xf>
    <xf numFmtId="0" fontId="37" fillId="18" borderId="49" xfId="2" applyFont="1" applyFill="1" applyBorder="1" applyAlignment="1">
      <alignment vertical="center"/>
    </xf>
    <xf numFmtId="49" fontId="5" fillId="0" borderId="0" xfId="2" applyNumberFormat="1" applyFont="1" applyProtection="1">
      <protection locked="0"/>
    </xf>
    <xf numFmtId="0" fontId="5" fillId="0" borderId="12" xfId="2" applyFont="1" applyBorder="1" applyAlignment="1" applyProtection="1">
      <alignment horizontal="left" vertical="center" wrapText="1"/>
      <protection locked="0"/>
    </xf>
    <xf numFmtId="0" fontId="5" fillId="0" borderId="11" xfId="2" applyFont="1" applyBorder="1" applyAlignment="1" applyProtection="1">
      <alignment horizontal="left" vertical="center" wrapText="1"/>
      <protection locked="0"/>
    </xf>
    <xf numFmtId="49" fontId="4" fillId="17" borderId="83" xfId="2" applyNumberFormat="1" applyFill="1" applyBorder="1"/>
    <xf numFmtId="4" fontId="5" fillId="0" borderId="40" xfId="2" applyNumberFormat="1" applyFont="1" applyBorder="1" applyAlignment="1" applyProtection="1">
      <alignment horizontal="center" vertical="center" wrapText="1"/>
      <protection locked="0"/>
    </xf>
    <xf numFmtId="4" fontId="5" fillId="0" borderId="42" xfId="2" applyNumberFormat="1" applyFont="1" applyBorder="1" applyAlignment="1" applyProtection="1">
      <alignment horizontal="center" vertical="center" wrapText="1"/>
      <protection locked="0"/>
    </xf>
    <xf numFmtId="0" fontId="19" fillId="18" borderId="15" xfId="2" applyFont="1" applyFill="1" applyBorder="1" applyAlignment="1">
      <alignment horizontal="left" vertical="center"/>
    </xf>
    <xf numFmtId="1" fontId="9" fillId="16" borderId="14" xfId="56" applyNumberFormat="1" applyFont="1" applyFill="1" applyBorder="1" applyAlignment="1" applyProtection="1">
      <alignment horizontal="center"/>
    </xf>
    <xf numFmtId="0" fontId="5" fillId="0" borderId="0" xfId="2" applyFont="1" applyBorder="1" applyProtection="1"/>
    <xf numFmtId="164" fontId="9" fillId="16" borderId="0" xfId="56" applyFont="1" applyFill="1" applyBorder="1" applyAlignment="1" applyProtection="1">
      <alignment horizontal="center"/>
    </xf>
    <xf numFmtId="164" fontId="5" fillId="0" borderId="0" xfId="2" applyNumberFormat="1" applyFont="1" applyBorder="1" applyProtection="1">
      <protection locked="0"/>
    </xf>
    <xf numFmtId="0" fontId="5" fillId="16" borderId="83" xfId="2" applyFont="1" applyFill="1" applyBorder="1" applyAlignment="1" applyProtection="1"/>
    <xf numFmtId="164" fontId="5" fillId="0" borderId="18" xfId="2" applyNumberFormat="1" applyFont="1" applyBorder="1" applyProtection="1">
      <protection locked="0"/>
    </xf>
    <xf numFmtId="0" fontId="0" fillId="0" borderId="76" xfId="0" applyBorder="1" applyAlignment="1">
      <alignment wrapText="1"/>
    </xf>
    <xf numFmtId="0" fontId="0" fillId="0" borderId="111" xfId="0" applyBorder="1"/>
    <xf numFmtId="0" fontId="0" fillId="0" borderId="111" xfId="0" applyBorder="1" applyAlignment="1">
      <alignment wrapText="1"/>
    </xf>
    <xf numFmtId="0" fontId="0" fillId="0" borderId="112" xfId="0" applyBorder="1" applyAlignment="1">
      <alignment wrapText="1"/>
    </xf>
    <xf numFmtId="0" fontId="0" fillId="0" borderId="39" xfId="0" applyBorder="1"/>
    <xf numFmtId="2" fontId="0" fillId="0" borderId="39" xfId="0" applyNumberFormat="1" applyBorder="1"/>
    <xf numFmtId="0" fontId="0" fillId="0" borderId="76" xfId="0" applyBorder="1"/>
    <xf numFmtId="2" fontId="0" fillId="0" borderId="111" xfId="0" applyNumberFormat="1" applyBorder="1"/>
    <xf numFmtId="0" fontId="1" fillId="21" borderId="112" xfId="0" applyFont="1" applyFill="1" applyBorder="1"/>
    <xf numFmtId="0" fontId="0" fillId="0" borderId="0" xfId="0" applyBorder="1"/>
    <xf numFmtId="0" fontId="47" fillId="17" borderId="95" xfId="0" applyNumberFormat="1" applyFont="1" applyFill="1" applyBorder="1"/>
    <xf numFmtId="0" fontId="0" fillId="17" borderId="95" xfId="0" applyNumberFormat="1" applyFill="1" applyBorder="1" applyAlignment="1">
      <alignment wrapText="1"/>
    </xf>
    <xf numFmtId="0" fontId="0" fillId="17" borderId="1" xfId="0" applyFill="1" applyBorder="1" applyAlignment="1">
      <alignment wrapText="1"/>
    </xf>
    <xf numFmtId="0" fontId="1" fillId="0" borderId="1" xfId="0" applyFont="1" applyBorder="1" applyAlignment="1">
      <alignment wrapText="1"/>
    </xf>
    <xf numFmtId="0" fontId="47" fillId="17" borderId="1" xfId="0" applyNumberFormat="1" applyFont="1" applyFill="1" applyBorder="1"/>
    <xf numFmtId="0" fontId="0" fillId="17" borderId="1" xfId="0" applyNumberFormat="1" applyFill="1" applyBorder="1" applyAlignment="1">
      <alignment horizontal="left"/>
    </xf>
    <xf numFmtId="0" fontId="1" fillId="0" borderId="1" xfId="0" applyFont="1" applyFill="1" applyBorder="1"/>
    <xf numFmtId="167" fontId="1" fillId="0" borderId="1" xfId="0" applyNumberFormat="1" applyFont="1" applyBorder="1"/>
    <xf numFmtId="171" fontId="1" fillId="0" borderId="1" xfId="0" applyNumberFormat="1" applyFont="1" applyBorder="1"/>
    <xf numFmtId="2" fontId="0" fillId="0" borderId="1" xfId="0" applyNumberFormat="1" applyBorder="1"/>
    <xf numFmtId="17" fontId="1" fillId="20" borderId="1" xfId="0" applyNumberFormat="1" applyFont="1" applyFill="1" applyBorder="1"/>
    <xf numFmtId="17" fontId="1" fillId="2" borderId="1" xfId="0" applyNumberFormat="1" applyFont="1" applyFill="1" applyBorder="1"/>
    <xf numFmtId="17" fontId="1" fillId="17" borderId="1" xfId="0" applyNumberFormat="1" applyFont="1" applyFill="1" applyBorder="1"/>
    <xf numFmtId="0" fontId="9" fillId="0" borderId="0" xfId="2" applyFont="1" applyFill="1" applyBorder="1" applyAlignment="1" applyProtection="1">
      <alignment horizontal="center" vertical="center" wrapText="1"/>
      <protection locked="0"/>
    </xf>
    <xf numFmtId="0" fontId="9" fillId="16" borderId="20" xfId="2" applyFont="1" applyFill="1" applyBorder="1" applyAlignment="1" applyProtection="1">
      <alignment horizontal="center" vertical="center" wrapText="1"/>
    </xf>
    <xf numFmtId="0" fontId="5" fillId="16" borderId="9" xfId="2" applyFont="1" applyFill="1" applyBorder="1" applyAlignment="1" applyProtection="1">
      <alignment horizontal="center" vertical="center" wrapText="1"/>
    </xf>
    <xf numFmtId="0" fontId="10" fillId="0" borderId="28" xfId="2" applyFont="1" applyFill="1" applyBorder="1" applyAlignment="1" applyProtection="1">
      <alignment horizontal="center" wrapText="1"/>
      <protection locked="0"/>
    </xf>
    <xf numFmtId="0" fontId="9" fillId="0" borderId="0" xfId="2" applyFont="1" applyFill="1" applyBorder="1" applyAlignment="1" applyProtection="1">
      <alignment horizontal="left" vertical="top"/>
      <protection locked="0"/>
    </xf>
    <xf numFmtId="0" fontId="5" fillId="16" borderId="64" xfId="2" applyFont="1" applyFill="1" applyBorder="1" applyAlignment="1" applyProtection="1">
      <alignment horizontal="left"/>
    </xf>
    <xf numFmtId="0" fontId="5" fillId="16" borderId="65" xfId="2" applyFont="1" applyFill="1" applyBorder="1" applyAlignment="1" applyProtection="1">
      <alignment horizontal="left"/>
    </xf>
    <xf numFmtId="0" fontId="5" fillId="16" borderId="70" xfId="2" applyFont="1" applyFill="1" applyBorder="1" applyAlignment="1" applyProtection="1">
      <alignment horizontal="left"/>
    </xf>
    <xf numFmtId="0" fontId="5" fillId="16" borderId="71" xfId="2" applyFont="1" applyFill="1" applyBorder="1" applyAlignment="1" applyProtection="1">
      <alignment horizontal="left"/>
    </xf>
    <xf numFmtId="0" fontId="6" fillId="16" borderId="78" xfId="2" applyFont="1" applyFill="1" applyBorder="1" applyAlignment="1" applyProtection="1">
      <alignment horizontal="center"/>
    </xf>
    <xf numFmtId="0" fontId="6" fillId="16" borderId="20" xfId="2" applyFont="1" applyFill="1" applyBorder="1" applyAlignment="1" applyProtection="1">
      <alignment horizontal="center"/>
    </xf>
    <xf numFmtId="0" fontId="7" fillId="16" borderId="14" xfId="2" applyFont="1" applyFill="1" applyBorder="1" applyAlignment="1" applyProtection="1">
      <alignment horizontal="center"/>
    </xf>
    <xf numFmtId="0" fontId="7" fillId="16" borderId="15" xfId="2" applyFont="1" applyFill="1" applyBorder="1" applyAlignment="1" applyProtection="1">
      <alignment horizontal="center"/>
    </xf>
    <xf numFmtId="0" fontId="9" fillId="16" borderId="76" xfId="2" applyFont="1" applyFill="1" applyBorder="1" applyAlignment="1" applyProtection="1">
      <alignment horizontal="center"/>
    </xf>
    <xf numFmtId="0" fontId="9" fillId="16" borderId="112" xfId="2" applyFont="1" applyFill="1" applyBorder="1" applyAlignment="1" applyProtection="1">
      <alignment horizontal="center"/>
    </xf>
    <xf numFmtId="0" fontId="5" fillId="0" borderId="18" xfId="2" applyFont="1" applyBorder="1" applyAlignment="1" applyProtection="1">
      <alignment horizontal="center" vertical="center" wrapText="1"/>
      <protection locked="0"/>
    </xf>
    <xf numFmtId="0" fontId="12" fillId="0" borderId="19" xfId="2" applyFont="1" applyBorder="1" applyAlignment="1">
      <alignment wrapText="1"/>
    </xf>
    <xf numFmtId="0" fontId="5" fillId="0" borderId="119" xfId="2" applyFont="1" applyBorder="1" applyProtection="1">
      <protection locked="0"/>
    </xf>
    <xf numFmtId="0" fontId="5" fillId="0" borderId="120" xfId="2" applyFont="1" applyBorder="1" applyAlignment="1" applyProtection="1">
      <alignment wrapText="1"/>
      <protection locked="0"/>
    </xf>
    <xf numFmtId="0" fontId="5" fillId="0" borderId="19" xfId="2" applyFont="1" applyBorder="1" applyAlignment="1" applyProtection="1">
      <alignment horizontal="left" vertical="center" wrapText="1"/>
      <protection locked="0"/>
    </xf>
    <xf numFmtId="164" fontId="5" fillId="0" borderId="121" xfId="2" applyNumberFormat="1" applyFont="1" applyBorder="1" applyAlignment="1" applyProtection="1">
      <alignment vertical="center" wrapText="1"/>
      <protection locked="0"/>
    </xf>
    <xf numFmtId="0" fontId="5" fillId="0" borderId="10" xfId="2" applyFont="1" applyBorder="1" applyAlignment="1" applyProtection="1">
      <alignment vertical="center" wrapText="1"/>
      <protection locked="0"/>
    </xf>
    <xf numFmtId="0" fontId="49" fillId="0" borderId="51" xfId="2" applyFont="1" applyBorder="1" applyProtection="1">
      <protection locked="0"/>
    </xf>
    <xf numFmtId="49" fontId="2" fillId="17" borderId="91" xfId="2" applyNumberFormat="1" applyFont="1" applyFill="1" applyBorder="1" applyAlignment="1">
      <alignment wrapText="1"/>
    </xf>
    <xf numFmtId="0" fontId="49" fillId="0" borderId="50" xfId="2" applyFont="1" applyBorder="1" applyProtection="1">
      <protection locked="0"/>
    </xf>
    <xf numFmtId="0" fontId="49" fillId="0" borderId="51" xfId="2" applyFont="1" applyBorder="1" applyAlignment="1" applyProtection="1">
      <alignment wrapText="1"/>
      <protection locked="0"/>
    </xf>
    <xf numFmtId="49" fontId="2" fillId="17" borderId="91" xfId="2" applyNumberFormat="1" applyFont="1" applyFill="1" applyBorder="1"/>
    <xf numFmtId="166" fontId="2" fillId="17" borderId="92" xfId="2" applyNumberFormat="1" applyFont="1" applyFill="1" applyBorder="1"/>
    <xf numFmtId="4" fontId="32" fillId="0" borderId="50" xfId="2" applyNumberFormat="1" applyFont="1" applyBorder="1" applyAlignment="1">
      <alignment horizontal="center" wrapText="1"/>
    </xf>
    <xf numFmtId="164" fontId="19" fillId="17" borderId="49" xfId="2" applyNumberFormat="1" applyFont="1" applyFill="1" applyBorder="1" applyAlignment="1">
      <alignment horizontal="center" vertical="center" wrapText="1"/>
    </xf>
    <xf numFmtId="164" fontId="49" fillId="0" borderId="48" xfId="3" applyFont="1" applyBorder="1" applyAlignment="1">
      <alignment horizontal="center"/>
    </xf>
    <xf numFmtId="164" fontId="19" fillId="17" borderId="49" xfId="2" applyNumberFormat="1" applyFont="1" applyFill="1" applyBorder="1" applyAlignment="1">
      <alignment horizontal="right" vertical="center" wrapText="1"/>
    </xf>
    <xf numFmtId="0" fontId="19" fillId="0" borderId="48" xfId="2" applyFont="1" applyBorder="1" applyAlignment="1">
      <alignment vertical="center"/>
    </xf>
    <xf numFmtId="2" fontId="5" fillId="0" borderId="49" xfId="2" applyNumberFormat="1" applyFont="1" applyBorder="1" applyProtection="1">
      <protection locked="0"/>
    </xf>
    <xf numFmtId="49" fontId="50" fillId="17" borderId="50" xfId="2" applyNumberFormat="1" applyFont="1" applyFill="1" applyBorder="1"/>
    <xf numFmtId="49" fontId="50" fillId="17" borderId="1" xfId="2" applyNumberFormat="1" applyFont="1" applyFill="1" applyBorder="1"/>
    <xf numFmtId="49" fontId="2" fillId="17" borderId="11" xfId="2" applyNumberFormat="1" applyFont="1" applyFill="1" applyBorder="1" applyAlignment="1">
      <alignment wrapText="1"/>
    </xf>
    <xf numFmtId="0" fontId="49" fillId="0" borderId="55" xfId="2" applyFont="1" applyBorder="1" applyProtection="1">
      <protection locked="0"/>
    </xf>
    <xf numFmtId="0" fontId="49" fillId="0" borderId="53" xfId="2" applyFont="1" applyBorder="1" applyAlignment="1" applyProtection="1">
      <alignment wrapText="1"/>
      <protection locked="0"/>
    </xf>
    <xf numFmtId="49" fontId="2" fillId="17" borderId="11" xfId="2" applyNumberFormat="1" applyFont="1" applyFill="1" applyBorder="1"/>
    <xf numFmtId="166" fontId="2" fillId="17" borderId="12" xfId="2" applyNumberFormat="1" applyFont="1" applyFill="1" applyBorder="1"/>
    <xf numFmtId="0" fontId="5" fillId="0" borderId="56" xfId="2" applyFont="1" applyBorder="1" applyAlignment="1" applyProtection="1">
      <alignment horizontal="center" vertical="center" wrapText="1"/>
      <protection locked="0"/>
    </xf>
    <xf numFmtId="0" fontId="5" fillId="0" borderId="56" xfId="2" applyFont="1" applyBorder="1" applyAlignment="1" applyProtection="1">
      <alignment horizontal="left" vertical="center" wrapText="1"/>
      <protection locked="0"/>
    </xf>
    <xf numFmtId="0" fontId="5" fillId="0" borderId="57" xfId="2" applyFont="1" applyBorder="1" applyAlignment="1" applyProtection="1">
      <alignment vertical="center" wrapText="1"/>
      <protection locked="0"/>
    </xf>
    <xf numFmtId="0" fontId="5" fillId="0" borderId="57" xfId="2" applyFont="1" applyBorder="1" applyAlignment="1" applyProtection="1">
      <alignment horizontal="center" vertical="center" wrapText="1"/>
      <protection locked="0"/>
    </xf>
    <xf numFmtId="4" fontId="5" fillId="0" borderId="40" xfId="2" applyNumberFormat="1" applyFont="1" applyBorder="1" applyAlignment="1" applyProtection="1">
      <alignment vertical="center" wrapText="1"/>
      <protection locked="0"/>
    </xf>
    <xf numFmtId="4" fontId="5" fillId="0" borderId="13" xfId="2" applyNumberFormat="1" applyFont="1" applyBorder="1" applyAlignment="1" applyProtection="1">
      <alignment vertical="center" wrapText="1"/>
      <protection locked="0"/>
    </xf>
    <xf numFmtId="164" fontId="5" fillId="0" borderId="0" xfId="2" applyNumberFormat="1" applyFont="1" applyProtection="1">
      <protection locked="0"/>
    </xf>
    <xf numFmtId="0" fontId="5" fillId="0" borderId="89" xfId="2" applyFont="1" applyFill="1" applyBorder="1" applyAlignment="1" applyProtection="1">
      <alignment wrapText="1"/>
      <protection locked="0"/>
    </xf>
    <xf numFmtId="0" fontId="5" fillId="0" borderId="51" xfId="2" applyFont="1" applyBorder="1" applyProtection="1">
      <protection locked="0"/>
    </xf>
    <xf numFmtId="0" fontId="51" fillId="0" borderId="48" xfId="2" applyFont="1" applyBorder="1" applyAlignment="1">
      <alignment vertical="center" wrapText="1"/>
    </xf>
    <xf numFmtId="0" fontId="51" fillId="0" borderId="1" xfId="2" applyFont="1" applyBorder="1" applyAlignment="1">
      <alignment vertical="center"/>
    </xf>
    <xf numFmtId="0" fontId="51" fillId="0" borderId="1" xfId="2" applyFont="1" applyBorder="1" applyAlignment="1">
      <alignment horizontal="right" vertical="center"/>
    </xf>
    <xf numFmtId="2" fontId="2" fillId="0" borderId="1" xfId="61" applyNumberFormat="1" applyFont="1" applyBorder="1" applyAlignment="1">
      <alignment horizontal="right"/>
    </xf>
    <xf numFmtId="2" fontId="5" fillId="0" borderId="0" xfId="2" applyNumberFormat="1" applyFont="1" applyBorder="1" applyProtection="1">
      <protection locked="0"/>
    </xf>
    <xf numFmtId="0" fontId="2" fillId="0" borderId="0" xfId="61" applyNumberFormat="1" applyFill="1"/>
    <xf numFmtId="0" fontId="51" fillId="0" borderId="48" xfId="2" applyFont="1" applyBorder="1" applyAlignment="1">
      <alignment vertical="center"/>
    </xf>
    <xf numFmtId="0" fontId="51" fillId="0" borderId="1" xfId="2" applyFont="1" applyBorder="1"/>
    <xf numFmtId="3" fontId="2" fillId="0" borderId="1" xfId="61" applyNumberFormat="1" applyFill="1" applyBorder="1"/>
    <xf numFmtId="0" fontId="9" fillId="0" borderId="0" xfId="2" applyFont="1" applyAlignment="1" applyProtection="1">
      <alignment wrapText="1"/>
    </xf>
    <xf numFmtId="0" fontId="10" fillId="0" borderId="0" xfId="2" applyFont="1" applyFill="1" applyBorder="1" applyAlignment="1" applyProtection="1">
      <alignment horizontal="center" wrapText="1"/>
      <protection locked="0"/>
    </xf>
    <xf numFmtId="0" fontId="5" fillId="16" borderId="15" xfId="2" applyFont="1" applyFill="1" applyBorder="1" applyAlignment="1" applyProtection="1">
      <alignment horizontal="center" vertical="center" wrapText="1"/>
    </xf>
    <xf numFmtId="0" fontId="9" fillId="16" borderId="15" xfId="2" applyFont="1" applyFill="1" applyBorder="1" applyAlignment="1" applyProtection="1">
      <alignment horizontal="center" vertical="center" wrapText="1"/>
    </xf>
    <xf numFmtId="0" fontId="9" fillId="16" borderId="122" xfId="2" applyFont="1" applyFill="1" applyBorder="1" applyAlignment="1" applyProtection="1">
      <alignment horizontal="center"/>
    </xf>
    <xf numFmtId="0" fontId="9" fillId="17" borderId="95" xfId="2" applyFont="1" applyFill="1" applyBorder="1" applyAlignment="1" applyProtection="1">
      <alignment horizontal="center" vertical="center"/>
    </xf>
    <xf numFmtId="0" fontId="9" fillId="17" borderId="95" xfId="2" applyFont="1" applyFill="1" applyBorder="1" applyAlignment="1" applyProtection="1">
      <alignment horizontal="center" vertical="center" wrapText="1"/>
    </xf>
    <xf numFmtId="0" fontId="5" fillId="17" borderId="95" xfId="2" applyFont="1" applyFill="1" applyBorder="1" applyAlignment="1" applyProtection="1">
      <alignment horizontal="center" vertical="center" wrapText="1"/>
    </xf>
    <xf numFmtId="0" fontId="5" fillId="17" borderId="123" xfId="2" applyFont="1" applyFill="1" applyBorder="1" applyAlignment="1" applyProtection="1">
      <alignment horizontal="center" vertical="center" wrapText="1"/>
    </xf>
    <xf numFmtId="0" fontId="9" fillId="17" borderId="124" xfId="2" applyFont="1" applyFill="1" applyBorder="1" applyAlignment="1" applyProtection="1">
      <alignment horizontal="center" vertical="center" wrapText="1"/>
    </xf>
    <xf numFmtId="0" fontId="9" fillId="17" borderId="90" xfId="2" applyFont="1" applyFill="1" applyBorder="1" applyAlignment="1" applyProtection="1">
      <alignment horizontal="center" vertical="center"/>
    </xf>
    <xf numFmtId="1" fontId="9" fillId="17" borderId="90" xfId="56" applyNumberFormat="1" applyFont="1" applyFill="1" applyBorder="1" applyAlignment="1" applyProtection="1">
      <alignment horizontal="center" vertical="center"/>
    </xf>
    <xf numFmtId="0" fontId="9" fillId="17" borderId="121" xfId="2" applyFont="1" applyFill="1" applyBorder="1" applyAlignment="1" applyProtection="1">
      <alignment horizontal="center"/>
    </xf>
    <xf numFmtId="0" fontId="9" fillId="17" borderId="95" xfId="2" applyFont="1" applyFill="1" applyBorder="1" applyAlignment="1" applyProtection="1">
      <alignment horizontal="center"/>
    </xf>
    <xf numFmtId="0" fontId="5" fillId="17" borderId="1" xfId="2" applyFont="1" applyFill="1" applyBorder="1" applyProtection="1">
      <protection locked="0"/>
    </xf>
    <xf numFmtId="0" fontId="5" fillId="0" borderId="17" xfId="2" applyFont="1" applyBorder="1" applyAlignment="1" applyProtection="1">
      <alignment horizontal="center" vertical="center" wrapText="1"/>
      <protection locked="0"/>
    </xf>
    <xf numFmtId="49" fontId="47" fillId="0" borderId="1" xfId="2" applyNumberFormat="1" applyFont="1" applyFill="1" applyBorder="1" applyAlignment="1">
      <alignment wrapText="1"/>
    </xf>
    <xf numFmtId="0" fontId="9" fillId="0" borderId="1" xfId="2" applyFont="1" applyBorder="1" applyAlignment="1" applyProtection="1">
      <alignment wrapText="1"/>
      <protection locked="0"/>
    </xf>
    <xf numFmtId="49" fontId="47" fillId="17" borderId="1" xfId="2" applyNumberFormat="1" applyFont="1" applyFill="1" applyBorder="1"/>
    <xf numFmtId="166" fontId="47" fillId="17" borderId="1" xfId="2" applyNumberFormat="1" applyFont="1" applyFill="1" applyBorder="1"/>
    <xf numFmtId="0" fontId="5" fillId="0" borderId="121" xfId="2" applyFont="1" applyBorder="1" applyAlignment="1" applyProtection="1">
      <alignment vertical="center" wrapText="1"/>
      <protection locked="0"/>
    </xf>
    <xf numFmtId="0" fontId="5" fillId="0" borderId="94" xfId="2" applyFont="1" applyBorder="1" applyAlignment="1" applyProtection="1">
      <alignment vertical="center" wrapText="1"/>
      <protection locked="0"/>
    </xf>
    <xf numFmtId="49" fontId="52" fillId="17" borderId="1" xfId="2" applyNumberFormat="1" applyFont="1" applyFill="1" applyBorder="1"/>
    <xf numFmtId="0" fontId="49" fillId="0" borderId="51" xfId="2" applyFont="1" applyBorder="1" applyAlignment="1" applyProtection="1">
      <alignment horizontal="center"/>
      <protection locked="0"/>
    </xf>
    <xf numFmtId="49" fontId="47" fillId="17" borderId="1" xfId="2" applyNumberFormat="1" applyFont="1" applyFill="1" applyBorder="1" applyAlignment="1">
      <alignment wrapText="1"/>
    </xf>
    <xf numFmtId="0" fontId="5" fillId="0" borderId="83" xfId="2" applyFont="1" applyBorder="1" applyProtection="1">
      <protection locked="0"/>
    </xf>
    <xf numFmtId="49" fontId="47" fillId="0" borderId="1" xfId="2" applyNumberFormat="1" applyFont="1" applyFill="1" applyBorder="1"/>
    <xf numFmtId="166" fontId="47" fillId="0" borderId="1" xfId="2" applyNumberFormat="1" applyFont="1" applyFill="1" applyBorder="1"/>
    <xf numFmtId="164" fontId="49" fillId="0" borderId="50" xfId="3" applyFont="1" applyBorder="1" applyAlignment="1">
      <alignment horizontal="center"/>
    </xf>
    <xf numFmtId="49" fontId="52" fillId="0" borderId="1" xfId="2" applyNumberFormat="1" applyFont="1" applyFill="1" applyBorder="1"/>
    <xf numFmtId="0" fontId="9" fillId="0" borderId="83" xfId="2" applyFont="1" applyBorder="1" applyAlignment="1" applyProtection="1">
      <alignment wrapText="1"/>
      <protection locked="0"/>
    </xf>
    <xf numFmtId="0" fontId="5" fillId="0" borderId="86" xfId="2" applyFont="1" applyBorder="1" applyProtection="1">
      <protection locked="0"/>
    </xf>
    <xf numFmtId="49" fontId="52" fillId="17" borderId="0" xfId="2" applyNumberFormat="1" applyFont="1" applyFill="1" applyBorder="1" applyAlignment="1">
      <alignment wrapText="1"/>
    </xf>
    <xf numFmtId="0" fontId="5" fillId="0" borderId="15" xfId="2" applyFont="1" applyBorder="1" applyAlignment="1" applyProtection="1">
      <alignment vertical="center" wrapText="1"/>
      <protection locked="0"/>
    </xf>
    <xf numFmtId="0" fontId="9" fillId="0" borderId="15" xfId="2" applyFont="1" applyBorder="1" applyAlignment="1" applyProtection="1">
      <alignment vertical="center" wrapText="1"/>
      <protection locked="0"/>
    </xf>
    <xf numFmtId="0" fontId="5" fillId="0" borderId="15" xfId="2" applyFont="1" applyBorder="1" applyAlignment="1" applyProtection="1">
      <alignment horizontal="center" vertical="center" wrapText="1"/>
      <protection locked="0"/>
    </xf>
    <xf numFmtId="0" fontId="5" fillId="0" borderId="14" xfId="2" applyFont="1" applyBorder="1" applyAlignment="1" applyProtection="1">
      <alignment horizontal="center" vertical="center" wrapText="1"/>
      <protection locked="0"/>
    </xf>
    <xf numFmtId="0" fontId="9" fillId="0" borderId="15" xfId="2" applyFont="1" applyBorder="1" applyAlignment="1" applyProtection="1">
      <alignment horizontal="center" vertical="center" wrapText="1"/>
      <protection locked="0"/>
    </xf>
    <xf numFmtId="4" fontId="5" fillId="0" borderId="56" xfId="2" applyNumberFormat="1" applyFont="1" applyBorder="1" applyAlignment="1" applyProtection="1">
      <alignment vertical="center" wrapText="1"/>
      <protection locked="0"/>
    </xf>
    <xf numFmtId="4" fontId="5" fillId="0" borderId="15" xfId="2" applyNumberFormat="1" applyFont="1" applyBorder="1" applyAlignment="1" applyProtection="1">
      <alignment vertical="center" wrapText="1"/>
      <protection locked="0"/>
    </xf>
    <xf numFmtId="49" fontId="52" fillId="17" borderId="0" xfId="2" applyNumberFormat="1" applyFont="1" applyFill="1" applyBorder="1"/>
    <xf numFmtId="0" fontId="9" fillId="16" borderId="59" xfId="2" applyFont="1" applyFill="1" applyBorder="1" applyAlignment="1" applyProtection="1">
      <alignment wrapText="1"/>
    </xf>
    <xf numFmtId="0" fontId="9" fillId="16" borderId="65" xfId="2" applyFont="1" applyFill="1" applyBorder="1" applyAlignment="1" applyProtection="1">
      <alignment wrapText="1"/>
    </xf>
    <xf numFmtId="0" fontId="9" fillId="16" borderId="71" xfId="2" applyFont="1" applyFill="1" applyBorder="1" applyAlignment="1" applyProtection="1">
      <alignment wrapText="1"/>
    </xf>
    <xf numFmtId="0" fontId="9" fillId="0" borderId="4" xfId="2" applyFont="1" applyBorder="1" applyAlignment="1" applyProtection="1">
      <alignment wrapText="1"/>
    </xf>
    <xf numFmtId="0" fontId="9" fillId="16" borderId="80" xfId="2" applyFont="1" applyFill="1" applyBorder="1" applyAlignment="1" applyProtection="1">
      <alignment wrapText="1"/>
    </xf>
    <xf numFmtId="0" fontId="9" fillId="16" borderId="83" xfId="2" applyFont="1" applyFill="1" applyBorder="1" applyAlignment="1" applyProtection="1">
      <alignment wrapText="1"/>
    </xf>
    <xf numFmtId="0" fontId="9" fillId="16" borderId="84" xfId="2" applyFont="1" applyFill="1" applyBorder="1" applyAlignment="1" applyProtection="1">
      <alignment wrapText="1"/>
    </xf>
    <xf numFmtId="0" fontId="9" fillId="16" borderId="86" xfId="2" applyFont="1" applyFill="1" applyBorder="1" applyAlignment="1" applyProtection="1">
      <alignment wrapText="1"/>
    </xf>
    <xf numFmtId="0" fontId="9" fillId="0" borderId="78" xfId="2" applyFont="1" applyBorder="1" applyAlignment="1" applyProtection="1">
      <alignment wrapText="1"/>
      <protection locked="0"/>
    </xf>
    <xf numFmtId="0" fontId="9" fillId="0" borderId="14" xfId="2" applyFont="1" applyBorder="1" applyAlignment="1" applyProtection="1">
      <alignment wrapText="1"/>
      <protection locked="0"/>
    </xf>
    <xf numFmtId="0" fontId="0" fillId="0" borderId="1" xfId="0" applyBorder="1" applyAlignment="1">
      <alignment horizontal="left"/>
    </xf>
    <xf numFmtId="0" fontId="0" fillId="0" borderId="1" xfId="0" applyFill="1" applyBorder="1" applyAlignment="1">
      <alignment horizontal="left" vertical="top" wrapText="1"/>
    </xf>
    <xf numFmtId="0" fontId="0" fillId="0" borderId="1" xfId="0" applyFill="1" applyBorder="1" applyAlignment="1">
      <alignment horizontal="left"/>
    </xf>
    <xf numFmtId="0" fontId="6" fillId="16" borderId="4" xfId="2" applyFont="1" applyFill="1" applyBorder="1" applyAlignment="1" applyProtection="1">
      <alignment horizontal="center"/>
    </xf>
    <xf numFmtId="0" fontId="6" fillId="16" borderId="5" xfId="2" applyFont="1" applyFill="1" applyBorder="1" applyAlignment="1" applyProtection="1">
      <alignment horizontal="center"/>
    </xf>
    <xf numFmtId="0" fontId="7" fillId="16" borderId="4" xfId="2" applyFont="1" applyFill="1" applyBorder="1" applyAlignment="1" applyProtection="1">
      <alignment horizontal="center"/>
    </xf>
    <xf numFmtId="0" fontId="7" fillId="16" borderId="5" xfId="2" applyFont="1" applyFill="1" applyBorder="1" applyAlignment="1" applyProtection="1">
      <alignment horizontal="center"/>
    </xf>
    <xf numFmtId="0" fontId="9" fillId="16" borderId="20" xfId="2" applyFont="1" applyFill="1" applyBorder="1" applyAlignment="1" applyProtection="1">
      <alignment horizontal="center" vertical="center" wrapText="1"/>
    </xf>
    <xf numFmtId="0" fontId="9" fillId="0" borderId="0" xfId="2" applyFont="1" applyFill="1" applyBorder="1" applyAlignment="1" applyProtection="1">
      <alignment horizontal="left" vertical="top"/>
      <protection locked="0"/>
    </xf>
    <xf numFmtId="0" fontId="9" fillId="0" borderId="9" xfId="2" applyFont="1" applyFill="1" applyBorder="1" applyAlignment="1" applyProtection="1">
      <alignment horizontal="left" vertical="top"/>
      <protection locked="0"/>
    </xf>
    <xf numFmtId="0" fontId="9" fillId="0" borderId="78" xfId="2" applyFont="1" applyFill="1" applyBorder="1" applyAlignment="1" applyProtection="1">
      <alignment horizontal="left" vertical="top"/>
      <protection locked="0"/>
    </xf>
    <xf numFmtId="0" fontId="9" fillId="0" borderId="20" xfId="2" applyFont="1" applyFill="1" applyBorder="1" applyAlignment="1" applyProtection="1">
      <alignment horizontal="left" vertical="top"/>
      <protection locked="0"/>
    </xf>
    <xf numFmtId="0" fontId="5" fillId="16" borderId="59" xfId="2" applyFont="1" applyFill="1" applyBorder="1" applyAlignment="1" applyProtection="1">
      <alignment horizontal="left"/>
    </xf>
    <xf numFmtId="0" fontId="5" fillId="16" borderId="64" xfId="2" applyFont="1" applyFill="1" applyBorder="1" applyAlignment="1" applyProtection="1">
      <alignment horizontal="left"/>
    </xf>
    <xf numFmtId="0" fontId="5" fillId="16" borderId="65" xfId="2" applyFont="1" applyFill="1" applyBorder="1" applyAlignment="1" applyProtection="1">
      <alignment horizontal="left"/>
    </xf>
    <xf numFmtId="0" fontId="5" fillId="16" borderId="70" xfId="2" applyFont="1" applyFill="1" applyBorder="1" applyAlignment="1" applyProtection="1">
      <alignment horizontal="left"/>
    </xf>
    <xf numFmtId="0" fontId="5" fillId="16" borderId="71" xfId="2" applyFont="1" applyFill="1" applyBorder="1" applyAlignment="1" applyProtection="1">
      <alignment horizontal="left"/>
    </xf>
    <xf numFmtId="0" fontId="4" fillId="0" borderId="0" xfId="2"/>
    <xf numFmtId="0" fontId="4" fillId="0" borderId="1" xfId="2" applyBorder="1"/>
    <xf numFmtId="0" fontId="23" fillId="0" borderId="1" xfId="2" applyFont="1" applyBorder="1"/>
    <xf numFmtId="0" fontId="23" fillId="0" borderId="1" xfId="2" applyFont="1" applyBorder="1" applyAlignment="1">
      <alignment wrapText="1"/>
    </xf>
    <xf numFmtId="0" fontId="4" fillId="0" borderId="1" xfId="2" applyFont="1" applyBorder="1" applyAlignment="1">
      <alignment wrapText="1"/>
    </xf>
    <xf numFmtId="0" fontId="2" fillId="0" borderId="1" xfId="4" applyFont="1" applyBorder="1" applyAlignment="1">
      <alignment wrapText="1"/>
    </xf>
    <xf numFmtId="0" fontId="19" fillId="0" borderId="51" xfId="2" applyFont="1" applyBorder="1" applyAlignment="1">
      <alignment horizontal="center" vertical="center"/>
    </xf>
    <xf numFmtId="10" fontId="19" fillId="0" borderId="51" xfId="2" applyNumberFormat="1" applyFont="1" applyBorder="1" applyAlignment="1">
      <alignment horizontal="center" vertical="center"/>
    </xf>
    <xf numFmtId="173" fontId="23" fillId="0" borderId="1" xfId="46" applyNumberFormat="1" applyFont="1" applyBorder="1"/>
    <xf numFmtId="2" fontId="2" fillId="0" borderId="1" xfId="4" applyNumberFormat="1" applyBorder="1"/>
    <xf numFmtId="0" fontId="19" fillId="0" borderId="51" xfId="2" applyFont="1" applyBorder="1" applyAlignment="1">
      <alignment horizontal="center" vertical="center" wrapText="1"/>
    </xf>
    <xf numFmtId="0" fontId="19" fillId="0" borderId="1" xfId="2" applyFont="1" applyBorder="1" applyAlignment="1">
      <alignment vertical="center" wrapText="1"/>
    </xf>
    <xf numFmtId="10" fontId="23" fillId="0" borderId="1" xfId="46" applyNumberFormat="1" applyFont="1" applyBorder="1"/>
    <xf numFmtId="167" fontId="2" fillId="0" borderId="49" xfId="4" applyNumberFormat="1" applyBorder="1"/>
    <xf numFmtId="0" fontId="19" fillId="0" borderId="1" xfId="2" applyFont="1" applyBorder="1" applyAlignment="1">
      <alignment horizontal="center" vertical="center"/>
    </xf>
    <xf numFmtId="9" fontId="23" fillId="0" borderId="1" xfId="46" applyNumberFormat="1" applyFont="1" applyBorder="1"/>
    <xf numFmtId="167" fontId="2" fillId="0" borderId="1" xfId="4" applyNumberFormat="1" applyFont="1" applyBorder="1" applyAlignment="1">
      <alignment horizontal="right"/>
    </xf>
    <xf numFmtId="0" fontId="5" fillId="0" borderId="49" xfId="2" applyFont="1" applyBorder="1" applyAlignment="1" applyProtection="1">
      <protection locked="0"/>
    </xf>
    <xf numFmtId="0" fontId="4" fillId="0" borderId="95" xfId="2" applyBorder="1"/>
    <xf numFmtId="0" fontId="5" fillId="0" borderId="0" xfId="66" applyFont="1" applyProtection="1"/>
    <xf numFmtId="0" fontId="5" fillId="0" borderId="0" xfId="66" applyFont="1" applyAlignment="1" applyProtection="1">
      <alignment wrapText="1"/>
    </xf>
    <xf numFmtId="0" fontId="6" fillId="16" borderId="4" xfId="66" applyFont="1" applyFill="1" applyBorder="1" applyAlignment="1" applyProtection="1">
      <alignment horizontal="center"/>
    </xf>
    <xf numFmtId="0" fontId="6" fillId="16" borderId="5" xfId="66" applyFont="1" applyFill="1" applyBorder="1" applyAlignment="1" applyProtection="1">
      <alignment horizontal="center"/>
    </xf>
    <xf numFmtId="0" fontId="5" fillId="0" borderId="0" xfId="66" applyFont="1" applyProtection="1">
      <protection locked="0"/>
    </xf>
    <xf numFmtId="0" fontId="7" fillId="16" borderId="4" xfId="66" applyFont="1" applyFill="1" applyBorder="1" applyAlignment="1" applyProtection="1">
      <alignment horizontal="center"/>
    </xf>
    <xf numFmtId="0" fontId="7" fillId="16" borderId="5" xfId="66" applyFont="1" applyFill="1" applyBorder="1" applyAlignment="1" applyProtection="1">
      <alignment horizontal="center"/>
    </xf>
    <xf numFmtId="0" fontId="8" fillId="16" borderId="6" xfId="66" applyFont="1" applyFill="1" applyBorder="1" applyAlignment="1" applyProtection="1">
      <alignment wrapText="1"/>
    </xf>
    <xf numFmtId="0" fontId="9" fillId="0" borderId="7" xfId="66" applyFont="1" applyFill="1" applyBorder="1" applyAlignment="1" applyProtection="1">
      <alignment horizontal="center" vertical="center" wrapText="1"/>
      <protection locked="0"/>
    </xf>
    <xf numFmtId="0" fontId="9" fillId="16" borderId="7" xfId="66" applyFont="1" applyFill="1" applyBorder="1" applyAlignment="1" applyProtection="1">
      <alignment wrapText="1"/>
    </xf>
    <xf numFmtId="0" fontId="9" fillId="0" borderId="7" xfId="66" applyNumberFormat="1" applyFont="1" applyFill="1" applyBorder="1" applyAlignment="1" applyProtection="1">
      <alignment horizontal="center" vertical="center" wrapText="1"/>
      <protection locked="0"/>
    </xf>
    <xf numFmtId="0" fontId="9" fillId="16" borderId="10" xfId="66" applyFont="1" applyFill="1" applyBorder="1" applyAlignment="1" applyProtection="1">
      <alignment wrapText="1"/>
    </xf>
    <xf numFmtId="165" fontId="9" fillId="2" borderId="10" xfId="56" applyNumberFormat="1" applyFont="1" applyFill="1" applyBorder="1" applyAlignment="1" applyProtection="1">
      <alignment horizontal="center" vertical="center" wrapText="1"/>
      <protection locked="0"/>
    </xf>
    <xf numFmtId="0" fontId="9" fillId="16" borderId="10" xfId="66" applyFont="1" applyFill="1" applyBorder="1" applyAlignment="1" applyProtection="1">
      <alignment horizontal="center" vertical="center" wrapText="1"/>
    </xf>
    <xf numFmtId="0" fontId="9" fillId="0" borderId="10" xfId="66" applyFont="1" applyFill="1" applyBorder="1" applyAlignment="1" applyProtection="1">
      <alignment horizontal="center" vertical="center" wrapText="1"/>
      <protection locked="0"/>
    </xf>
    <xf numFmtId="0" fontId="9" fillId="16" borderId="11" xfId="66" applyFont="1" applyFill="1" applyBorder="1" applyAlignment="1" applyProtection="1">
      <alignment wrapText="1"/>
    </xf>
    <xf numFmtId="0" fontId="5" fillId="0" borderId="12" xfId="66" applyFont="1" applyFill="1" applyBorder="1" applyAlignment="1" applyProtection="1">
      <alignment horizontal="center" vertical="center" wrapText="1"/>
      <protection locked="0"/>
    </xf>
    <xf numFmtId="0" fontId="9" fillId="16" borderId="12" xfId="66" applyFont="1" applyFill="1" applyBorder="1" applyAlignment="1" applyProtection="1">
      <alignment wrapText="1"/>
    </xf>
    <xf numFmtId="0" fontId="9" fillId="0" borderId="12" xfId="66" applyFont="1" applyFill="1" applyBorder="1" applyAlignment="1" applyProtection="1">
      <alignment horizontal="center" vertical="center" wrapText="1"/>
      <protection locked="0"/>
    </xf>
    <xf numFmtId="0" fontId="9" fillId="16" borderId="16" xfId="66" applyFont="1" applyFill="1" applyBorder="1" applyAlignment="1" applyProtection="1">
      <alignment wrapText="1"/>
    </xf>
    <xf numFmtId="0" fontId="9" fillId="16" borderId="16" xfId="66" applyFont="1" applyFill="1" applyBorder="1" applyAlignment="1" applyProtection="1">
      <alignment horizontal="right" wrapText="1"/>
    </xf>
    <xf numFmtId="0" fontId="9" fillId="0" borderId="16" xfId="66" applyFont="1" applyFill="1" applyBorder="1" applyAlignment="1" applyProtection="1">
      <alignment horizontal="center" vertical="center" wrapText="1"/>
      <protection locked="0"/>
    </xf>
    <xf numFmtId="0" fontId="9" fillId="0" borderId="17" xfId="66" applyFont="1" applyBorder="1" applyProtection="1"/>
    <xf numFmtId="0" fontId="9" fillId="0" borderId="0" xfId="66" applyFont="1" applyBorder="1" applyAlignment="1" applyProtection="1">
      <alignment wrapText="1"/>
      <protection locked="0"/>
    </xf>
    <xf numFmtId="0" fontId="9" fillId="0" borderId="0" xfId="66" applyFont="1" applyBorder="1" applyProtection="1">
      <protection locked="0"/>
    </xf>
    <xf numFmtId="2" fontId="9" fillId="0" borderId="0" xfId="66" applyNumberFormat="1" applyFont="1" applyBorder="1" applyProtection="1">
      <protection locked="0"/>
    </xf>
    <xf numFmtId="0" fontId="9" fillId="0" borderId="0" xfId="66" applyFont="1" applyFill="1" applyBorder="1" applyAlignment="1" applyProtection="1">
      <alignment wrapText="1"/>
      <protection locked="0"/>
    </xf>
    <xf numFmtId="0" fontId="9" fillId="16" borderId="76" xfId="66" applyFont="1" applyFill="1" applyBorder="1" applyAlignment="1" applyProtection="1">
      <alignment horizontal="center"/>
    </xf>
    <xf numFmtId="0" fontId="9" fillId="16" borderId="112" xfId="66" applyFont="1" applyFill="1" applyBorder="1" applyAlignment="1" applyProtection="1">
      <alignment horizontal="center"/>
    </xf>
    <xf numFmtId="0" fontId="9" fillId="16" borderId="109" xfId="66" applyFont="1" applyFill="1" applyBorder="1" applyAlignment="1" applyProtection="1">
      <alignment horizontal="center"/>
    </xf>
    <xf numFmtId="0" fontId="9" fillId="16" borderId="110" xfId="66" applyFont="1" applyFill="1" applyBorder="1" applyAlignment="1" applyProtection="1">
      <alignment horizontal="center"/>
    </xf>
    <xf numFmtId="0" fontId="5" fillId="0" borderId="0" xfId="66" applyFont="1" applyBorder="1" applyProtection="1">
      <protection locked="0"/>
    </xf>
    <xf numFmtId="0" fontId="5" fillId="0" borderId="1" xfId="66" applyFont="1" applyBorder="1" applyAlignment="1" applyProtection="1">
      <alignment horizontal="right" vertical="center" wrapText="1"/>
      <protection locked="0"/>
    </xf>
    <xf numFmtId="49" fontId="24" fillId="17" borderId="1" xfId="66" applyNumberFormat="1" applyFont="1" applyFill="1" applyBorder="1"/>
    <xf numFmtId="0" fontId="37" fillId="18" borderId="48" xfId="66" applyFont="1" applyFill="1" applyBorder="1" applyAlignment="1">
      <alignment vertical="center"/>
    </xf>
    <xf numFmtId="0" fontId="19" fillId="18" borderId="1" xfId="66" applyFont="1" applyFill="1" applyBorder="1" applyAlignment="1">
      <alignment vertical="center"/>
    </xf>
    <xf numFmtId="166" fontId="24" fillId="17" borderId="1" xfId="66" applyNumberFormat="1" applyFont="1" applyFill="1" applyBorder="1"/>
    <xf numFmtId="0" fontId="5" fillId="0" borderId="43" xfId="66" applyFont="1" applyBorder="1" applyAlignment="1" applyProtection="1">
      <alignment vertical="center" wrapText="1"/>
      <protection locked="0"/>
    </xf>
    <xf numFmtId="0" fontId="5" fillId="0" borderId="46" xfId="66" applyFont="1" applyBorder="1" applyAlignment="1" applyProtection="1">
      <alignment vertical="center" wrapText="1"/>
      <protection locked="0"/>
    </xf>
    <xf numFmtId="0" fontId="5" fillId="0" borderId="1" xfId="66" applyFont="1" applyBorder="1" applyAlignment="1" applyProtection="1">
      <alignment horizontal="right"/>
      <protection locked="0"/>
    </xf>
    <xf numFmtId="0" fontId="37" fillId="18" borderId="10" xfId="66" applyFont="1" applyFill="1" applyBorder="1" applyAlignment="1">
      <alignment vertical="center"/>
    </xf>
    <xf numFmtId="167" fontId="37" fillId="18" borderId="49" xfId="66" applyNumberFormat="1" applyFont="1" applyFill="1" applyBorder="1" applyAlignment="1">
      <alignment vertical="center"/>
    </xf>
    <xf numFmtId="0" fontId="37" fillId="18" borderId="51" xfId="66" applyFont="1" applyFill="1" applyBorder="1" applyAlignment="1">
      <alignment vertical="center"/>
    </xf>
    <xf numFmtId="49" fontId="24" fillId="17" borderId="1" xfId="66" applyNumberFormat="1" applyFont="1" applyFill="1" applyBorder="1" applyAlignment="1">
      <alignment wrapText="1"/>
    </xf>
    <xf numFmtId="0" fontId="5" fillId="0" borderId="1" xfId="66" applyFont="1" applyBorder="1" applyProtection="1">
      <protection locked="0"/>
    </xf>
    <xf numFmtId="0" fontId="5" fillId="0" borderId="1" xfId="66" applyFont="1" applyBorder="1" applyAlignment="1" applyProtection="1">
      <alignment horizontal="center" vertical="center" wrapText="1"/>
      <protection locked="0"/>
    </xf>
    <xf numFmtId="0" fontId="5" fillId="0" borderId="1" xfId="66" applyFont="1" applyBorder="1" applyAlignment="1" applyProtection="1">
      <alignment horizontal="left" vertical="center" wrapText="1"/>
      <protection locked="0"/>
    </xf>
    <xf numFmtId="0" fontId="5" fillId="0" borderId="1" xfId="66" applyFont="1" applyBorder="1" applyAlignment="1" applyProtection="1">
      <alignment vertical="center" wrapText="1"/>
      <protection locked="0"/>
    </xf>
    <xf numFmtId="0" fontId="5" fillId="0" borderId="52" xfId="66" applyFont="1" applyBorder="1" applyAlignment="1" applyProtection="1">
      <alignment horizontal="center" vertical="center" wrapText="1"/>
      <protection locked="0"/>
    </xf>
    <xf numFmtId="0" fontId="9" fillId="0" borderId="16" xfId="66" applyFont="1" applyBorder="1" applyAlignment="1" applyProtection="1">
      <alignment horizontal="center" vertical="center" wrapText="1"/>
      <protection locked="0"/>
    </xf>
    <xf numFmtId="4" fontId="5" fillId="0" borderId="52" xfId="66" applyNumberFormat="1" applyFont="1" applyBorder="1" applyAlignment="1" applyProtection="1">
      <alignment vertical="center" wrapText="1"/>
      <protection locked="0"/>
    </xf>
    <xf numFmtId="4" fontId="5" fillId="0" borderId="53" xfId="66" applyNumberFormat="1" applyFont="1" applyBorder="1" applyAlignment="1" applyProtection="1">
      <alignment vertical="center" wrapText="1"/>
      <protection locked="0"/>
    </xf>
    <xf numFmtId="0" fontId="5" fillId="16" borderId="56" xfId="66" applyFont="1" applyFill="1" applyBorder="1" applyAlignment="1" applyProtection="1">
      <alignment horizontal="left"/>
    </xf>
    <xf numFmtId="0" fontId="5" fillId="16" borderId="15" xfId="66" applyFont="1" applyFill="1" applyBorder="1" applyAlignment="1" applyProtection="1">
      <alignment horizontal="left"/>
    </xf>
    <xf numFmtId="0" fontId="5" fillId="16" borderId="57" xfId="66" applyFont="1" applyFill="1" applyBorder="1" applyProtection="1"/>
    <xf numFmtId="0" fontId="5" fillId="16" borderId="15" xfId="66" applyFont="1" applyFill="1" applyBorder="1" applyProtection="1"/>
    <xf numFmtId="0" fontId="5" fillId="0" borderId="0" xfId="66" applyFont="1" applyBorder="1" applyProtection="1"/>
    <xf numFmtId="0" fontId="5" fillId="16" borderId="59" xfId="66" applyFont="1" applyFill="1" applyBorder="1" applyProtection="1"/>
    <xf numFmtId="164" fontId="5" fillId="0" borderId="0" xfId="66" applyNumberFormat="1" applyFont="1" applyBorder="1" applyProtection="1">
      <protection locked="0"/>
    </xf>
    <xf numFmtId="0" fontId="5" fillId="16" borderId="64" xfId="66" applyFont="1" applyFill="1" applyBorder="1" applyAlignment="1" applyProtection="1">
      <alignment horizontal="left"/>
    </xf>
    <xf numFmtId="0" fontId="5" fillId="16" borderId="65" xfId="66" applyFont="1" applyFill="1" applyBorder="1" applyAlignment="1" applyProtection="1">
      <alignment horizontal="left"/>
    </xf>
    <xf numFmtId="0" fontId="5" fillId="16" borderId="64" xfId="66" applyFont="1" applyFill="1" applyBorder="1" applyAlignment="1" applyProtection="1"/>
    <xf numFmtId="0" fontId="5" fillId="16" borderId="65" xfId="66" applyFont="1" applyFill="1" applyBorder="1" applyAlignment="1" applyProtection="1"/>
    <xf numFmtId="0" fontId="5" fillId="16" borderId="69" xfId="66" applyFont="1" applyFill="1" applyBorder="1" applyAlignment="1" applyProtection="1"/>
    <xf numFmtId="10" fontId="9" fillId="0" borderId="66" xfId="66" applyNumberFormat="1" applyFont="1" applyFill="1" applyBorder="1" applyAlignment="1" applyProtection="1">
      <alignment horizontal="right"/>
      <protection locked="0"/>
    </xf>
    <xf numFmtId="0" fontId="5" fillId="16" borderId="65" xfId="66" applyFont="1" applyFill="1" applyBorder="1" applyProtection="1"/>
    <xf numFmtId="10" fontId="5" fillId="16" borderId="69" xfId="66" applyNumberFormat="1" applyFont="1" applyFill="1" applyBorder="1" applyProtection="1"/>
    <xf numFmtId="9" fontId="5" fillId="16" borderId="65" xfId="66" applyNumberFormat="1" applyFont="1" applyFill="1" applyBorder="1" applyProtection="1"/>
    <xf numFmtId="9" fontId="5" fillId="16" borderId="69" xfId="66" applyNumberFormat="1" applyFont="1" applyFill="1" applyBorder="1" applyProtection="1"/>
    <xf numFmtId="10" fontId="5" fillId="16" borderId="65" xfId="66" applyNumberFormat="1" applyFont="1" applyFill="1" applyBorder="1" applyProtection="1"/>
    <xf numFmtId="0" fontId="5" fillId="16" borderId="70" xfId="66" applyFont="1" applyFill="1" applyBorder="1" applyAlignment="1" applyProtection="1">
      <alignment horizontal="left"/>
    </xf>
    <xf numFmtId="0" fontId="5" fillId="16" borderId="71" xfId="66" applyFont="1" applyFill="1" applyBorder="1" applyAlignment="1" applyProtection="1">
      <alignment horizontal="left"/>
    </xf>
    <xf numFmtId="0" fontId="5" fillId="16" borderId="71" xfId="66" applyFont="1" applyFill="1" applyBorder="1" applyProtection="1"/>
    <xf numFmtId="10" fontId="5" fillId="16" borderId="71" xfId="66" applyNumberFormat="1" applyFont="1" applyFill="1" applyBorder="1" applyProtection="1"/>
    <xf numFmtId="9" fontId="5" fillId="16" borderId="72" xfId="66" applyNumberFormat="1" applyFont="1" applyFill="1" applyBorder="1" applyProtection="1"/>
    <xf numFmtId="0" fontId="9" fillId="16" borderId="3" xfId="66" applyFont="1" applyFill="1" applyBorder="1" applyAlignment="1" applyProtection="1"/>
    <xf numFmtId="0" fontId="9" fillId="16" borderId="4" xfId="66" applyFont="1" applyFill="1" applyBorder="1" applyAlignment="1" applyProtection="1"/>
    <xf numFmtId="0" fontId="9" fillId="16" borderId="5" xfId="66" applyFont="1" applyFill="1" applyBorder="1" applyAlignment="1" applyProtection="1"/>
    <xf numFmtId="164" fontId="5" fillId="16" borderId="76" xfId="66" applyNumberFormat="1" applyFont="1" applyFill="1" applyBorder="1" applyProtection="1"/>
    <xf numFmtId="164" fontId="5" fillId="16" borderId="77" xfId="66" applyNumberFormat="1" applyFont="1" applyFill="1" applyBorder="1" applyProtection="1"/>
    <xf numFmtId="0" fontId="9" fillId="0" borderId="18" xfId="66" applyFont="1" applyFill="1" applyBorder="1" applyAlignment="1" applyProtection="1"/>
    <xf numFmtId="0" fontId="9" fillId="0" borderId="78" xfId="66" applyFont="1" applyFill="1" applyBorder="1" applyAlignment="1" applyProtection="1"/>
    <xf numFmtId="164" fontId="5" fillId="0" borderId="3" xfId="66" applyNumberFormat="1" applyFont="1" applyFill="1" applyBorder="1" applyProtection="1">
      <protection locked="0"/>
    </xf>
    <xf numFmtId="164" fontId="5" fillId="0" borderId="5" xfId="66" applyNumberFormat="1" applyFont="1" applyFill="1" applyBorder="1" applyProtection="1">
      <protection locked="0"/>
    </xf>
    <xf numFmtId="0" fontId="5" fillId="0" borderId="0" xfId="66" applyFont="1" applyFill="1" applyProtection="1">
      <protection locked="0"/>
    </xf>
    <xf numFmtId="0" fontId="5" fillId="0" borderId="3" xfId="66" applyFont="1" applyBorder="1" applyProtection="1"/>
    <xf numFmtId="0" fontId="5" fillId="0" borderId="4" xfId="66" applyFont="1" applyBorder="1" applyAlignment="1" applyProtection="1">
      <alignment wrapText="1"/>
    </xf>
    <xf numFmtId="0" fontId="5" fillId="0" borderId="4" xfId="66" applyFont="1" applyBorder="1" applyProtection="1"/>
    <xf numFmtId="0" fontId="5" fillId="0" borderId="18" xfId="66" applyFont="1" applyBorder="1" applyProtection="1">
      <protection locked="0"/>
    </xf>
    <xf numFmtId="0" fontId="5" fillId="0" borderId="78" xfId="66" applyFont="1" applyFill="1" applyBorder="1" applyProtection="1">
      <protection locked="0"/>
    </xf>
    <xf numFmtId="0" fontId="5" fillId="0" borderId="20" xfId="66" applyFont="1" applyFill="1" applyBorder="1" applyProtection="1">
      <protection locked="0"/>
    </xf>
    <xf numFmtId="0" fontId="5" fillId="16" borderId="79" xfId="66" applyFont="1" applyFill="1" applyBorder="1" applyProtection="1"/>
    <xf numFmtId="0" fontId="5" fillId="16" borderId="79" xfId="66" applyFont="1" applyFill="1" applyBorder="1" applyAlignment="1" applyProtection="1">
      <alignment wrapText="1"/>
    </xf>
    <xf numFmtId="0" fontId="5" fillId="16" borderId="80" xfId="66" applyFont="1" applyFill="1" applyBorder="1" applyProtection="1"/>
    <xf numFmtId="0" fontId="5" fillId="0" borderId="1" xfId="66" applyFont="1" applyBorder="1" applyAlignment="1">
      <alignment wrapText="1"/>
    </xf>
    <xf numFmtId="0" fontId="5" fillId="16" borderId="81" xfId="66" applyFont="1" applyFill="1" applyBorder="1" applyProtection="1"/>
    <xf numFmtId="0" fontId="5" fillId="16" borderId="82" xfId="66" applyFont="1" applyFill="1" applyBorder="1" applyAlignment="1" applyProtection="1"/>
    <xf numFmtId="0" fontId="5" fillId="16" borderId="83" xfId="66" applyFont="1" applyFill="1" applyBorder="1" applyProtection="1"/>
    <xf numFmtId="0" fontId="5" fillId="0" borderId="48" xfId="66" applyFont="1" applyFill="1" applyBorder="1" applyAlignment="1" applyProtection="1">
      <alignment wrapText="1"/>
      <protection locked="0"/>
    </xf>
    <xf numFmtId="0" fontId="9" fillId="0" borderId="82" xfId="66" applyFont="1" applyFill="1" applyBorder="1" applyAlignment="1" applyProtection="1">
      <alignment wrapText="1"/>
      <protection locked="0"/>
    </xf>
    <xf numFmtId="0" fontId="5" fillId="16" borderId="19" xfId="66" applyFont="1" applyFill="1" applyBorder="1" applyProtection="1"/>
    <xf numFmtId="0" fontId="5" fillId="16" borderId="84" xfId="66" applyFont="1" applyFill="1" applyBorder="1" applyAlignment="1" applyProtection="1">
      <alignment wrapText="1"/>
    </xf>
    <xf numFmtId="0" fontId="5" fillId="16" borderId="84" xfId="66" applyFont="1" applyFill="1" applyBorder="1" applyProtection="1"/>
    <xf numFmtId="0" fontId="5" fillId="0" borderId="82" xfId="66" applyFont="1" applyFill="1" applyBorder="1" applyAlignment="1" applyProtection="1">
      <alignment horizontal="left" wrapText="1"/>
      <protection locked="0"/>
    </xf>
    <xf numFmtId="0" fontId="5" fillId="0" borderId="48" xfId="66" applyFont="1" applyFill="1" applyBorder="1" applyAlignment="1" applyProtection="1">
      <alignment horizontal="left" wrapText="1"/>
      <protection locked="0"/>
    </xf>
    <xf numFmtId="0" fontId="5" fillId="16" borderId="85" xfId="66" applyFont="1" applyFill="1" applyBorder="1" applyProtection="1"/>
    <xf numFmtId="0" fontId="9" fillId="0" borderId="48" xfId="66" applyFont="1" applyFill="1" applyBorder="1" applyAlignment="1" applyProtection="1">
      <alignment horizontal="left" wrapText="1"/>
      <protection locked="0"/>
    </xf>
    <xf numFmtId="9" fontId="5" fillId="0" borderId="48" xfId="66" applyNumberFormat="1" applyFont="1" applyFill="1" applyBorder="1" applyAlignment="1" applyProtection="1">
      <alignment horizontal="left" wrapText="1"/>
      <protection locked="0"/>
    </xf>
    <xf numFmtId="9" fontId="9" fillId="0" borderId="82" xfId="66" applyNumberFormat="1" applyFont="1" applyFill="1" applyBorder="1" applyAlignment="1" applyProtection="1">
      <alignment horizontal="left" wrapText="1"/>
      <protection locked="0"/>
    </xf>
    <xf numFmtId="9" fontId="9" fillId="0" borderId="48" xfId="66" applyNumberFormat="1" applyFont="1" applyFill="1" applyBorder="1" applyAlignment="1" applyProtection="1">
      <alignment horizontal="left" wrapText="1"/>
      <protection locked="0"/>
    </xf>
    <xf numFmtId="0" fontId="5" fillId="16" borderId="11" xfId="66" applyFont="1" applyFill="1" applyBorder="1" applyProtection="1"/>
    <xf numFmtId="0" fontId="5" fillId="16" borderId="86" xfId="66" applyFont="1" applyFill="1" applyBorder="1" applyAlignment="1" applyProtection="1">
      <alignment wrapText="1"/>
    </xf>
    <xf numFmtId="0" fontId="5" fillId="16" borderId="86" xfId="66" applyFont="1" applyFill="1" applyBorder="1" applyProtection="1"/>
    <xf numFmtId="0" fontId="5" fillId="0" borderId="52" xfId="66" applyFont="1" applyFill="1" applyBorder="1" applyAlignment="1" applyProtection="1">
      <alignment wrapText="1"/>
      <protection locked="0"/>
    </xf>
    <xf numFmtId="0" fontId="5" fillId="0" borderId="98" xfId="66" applyFont="1" applyFill="1" applyBorder="1" applyAlignment="1" applyProtection="1">
      <alignment wrapText="1"/>
      <protection locked="0"/>
    </xf>
    <xf numFmtId="0" fontId="9" fillId="0" borderId="0" xfId="66" applyFont="1" applyFill="1" applyBorder="1" applyAlignment="1" applyProtection="1">
      <alignment horizontal="left" vertical="top"/>
      <protection locked="0"/>
    </xf>
    <xf numFmtId="0" fontId="5" fillId="0" borderId="78" xfId="66" applyFont="1" applyBorder="1" applyAlignment="1" applyProtection="1">
      <alignment wrapText="1"/>
      <protection locked="0"/>
    </xf>
    <xf numFmtId="0" fontId="5" fillId="0" borderId="78" xfId="66" applyFont="1" applyBorder="1" applyProtection="1">
      <protection locked="0"/>
    </xf>
    <xf numFmtId="0" fontId="5" fillId="0" borderId="17" xfId="66" applyFont="1" applyBorder="1" applyProtection="1">
      <protection locked="0"/>
    </xf>
    <xf numFmtId="0" fontId="5" fillId="0" borderId="0" xfId="66" applyFont="1" applyBorder="1" applyAlignment="1" applyProtection="1">
      <alignment wrapText="1"/>
      <protection locked="0"/>
    </xf>
    <xf numFmtId="0" fontId="5" fillId="0" borderId="56" xfId="66" applyFont="1" applyBorder="1" applyProtection="1">
      <protection locked="0"/>
    </xf>
    <xf numFmtId="0" fontId="5" fillId="0" borderId="14" xfId="66" applyFont="1" applyBorder="1" applyAlignment="1" applyProtection="1">
      <alignment wrapText="1"/>
      <protection locked="0"/>
    </xf>
    <xf numFmtId="0" fontId="5" fillId="0" borderId="14" xfId="66" applyFont="1" applyBorder="1" applyProtection="1">
      <protection locked="0"/>
    </xf>
    <xf numFmtId="0" fontId="5" fillId="0" borderId="0" xfId="66" applyFont="1" applyAlignment="1" applyProtection="1">
      <alignment wrapText="1"/>
      <protection locked="0"/>
    </xf>
    <xf numFmtId="0" fontId="19" fillId="18" borderId="95" xfId="66" applyFont="1" applyFill="1" applyBorder="1" applyAlignment="1">
      <alignment vertical="center"/>
    </xf>
    <xf numFmtId="0" fontId="19" fillId="18" borderId="1" xfId="66" applyFont="1" applyFill="1" applyBorder="1" applyAlignment="1">
      <alignment horizontal="right" vertical="center"/>
    </xf>
    <xf numFmtId="167" fontId="37" fillId="18" borderId="10" xfId="66" applyNumberFormat="1" applyFont="1" applyFill="1" applyBorder="1" applyAlignment="1">
      <alignment vertical="center"/>
    </xf>
    <xf numFmtId="0" fontId="37" fillId="18" borderId="1" xfId="66" applyFont="1" applyFill="1" applyBorder="1" applyAlignment="1">
      <alignment vertical="center"/>
    </xf>
    <xf numFmtId="0" fontId="19" fillId="18" borderId="1" xfId="66" applyFont="1" applyFill="1" applyBorder="1" applyAlignment="1">
      <alignment vertical="center" wrapText="1"/>
    </xf>
    <xf numFmtId="1" fontId="38" fillId="0" borderId="49" xfId="66" applyNumberFormat="1" applyFont="1" applyBorder="1"/>
    <xf numFmtId="0" fontId="5" fillId="0" borderId="48" xfId="66" applyFont="1" applyBorder="1" applyProtection="1">
      <protection locked="0"/>
    </xf>
    <xf numFmtId="0" fontId="5" fillId="0" borderId="51" xfId="66" applyFont="1" applyBorder="1" applyProtection="1">
      <protection locked="0"/>
    </xf>
    <xf numFmtId="49" fontId="56" fillId="17" borderId="1" xfId="2" applyNumberFormat="1" applyFont="1" applyFill="1" applyBorder="1" applyAlignment="1">
      <alignment horizontal="center"/>
    </xf>
    <xf numFmtId="0" fontId="57" fillId="17" borderId="0" xfId="2" applyFont="1" applyFill="1" applyBorder="1" applyAlignment="1" applyProtection="1">
      <alignment horizontal="center" vertical="center" wrapText="1"/>
      <protection locked="0"/>
    </xf>
    <xf numFmtId="164" fontId="57" fillId="17" borderId="19" xfId="2" applyNumberFormat="1" applyFont="1" applyFill="1" applyBorder="1" applyAlignment="1" applyProtection="1">
      <alignment horizontal="center" vertical="center" wrapText="1"/>
      <protection locked="0"/>
    </xf>
    <xf numFmtId="0" fontId="57" fillId="17" borderId="14" xfId="2" applyFont="1" applyFill="1" applyBorder="1" applyAlignment="1" applyProtection="1">
      <alignment horizontal="center" vertical="center" wrapText="1"/>
      <protection locked="0"/>
    </xf>
    <xf numFmtId="0" fontId="57" fillId="17" borderId="57" xfId="2" applyFont="1" applyFill="1" applyBorder="1" applyAlignment="1" applyProtection="1">
      <alignment horizontal="center" vertical="center" wrapText="1"/>
      <protection locked="0"/>
    </xf>
    <xf numFmtId="0" fontId="17" fillId="16" borderId="9" xfId="2" applyFont="1" applyFill="1" applyBorder="1" applyAlignment="1" applyProtection="1">
      <alignment horizontal="center" vertical="center" wrapText="1"/>
    </xf>
    <xf numFmtId="0" fontId="9" fillId="16" borderId="119" xfId="2" applyFont="1" applyFill="1" applyBorder="1" applyAlignment="1" applyProtection="1">
      <alignment horizontal="center"/>
    </xf>
    <xf numFmtId="0" fontId="12" fillId="0" borderId="80" xfId="2" applyFont="1" applyBorder="1" applyAlignment="1">
      <alignment wrapText="1"/>
    </xf>
    <xf numFmtId="0" fontId="58" fillId="0" borderId="90" xfId="2" applyFont="1" applyBorder="1" applyAlignment="1">
      <alignment horizontal="center" wrapText="1"/>
    </xf>
    <xf numFmtId="0" fontId="59" fillId="0" borderId="90" xfId="2" applyFont="1" applyBorder="1" applyAlignment="1">
      <alignment horizontal="center" wrapText="1"/>
    </xf>
    <xf numFmtId="164" fontId="5" fillId="0" borderId="109" xfId="2" applyNumberFormat="1" applyFont="1" applyBorder="1" applyAlignment="1" applyProtection="1">
      <alignment vertical="center" wrapText="1"/>
      <protection locked="0"/>
    </xf>
    <xf numFmtId="0" fontId="5" fillId="0" borderId="110" xfId="2" applyFont="1" applyBorder="1" applyAlignment="1" applyProtection="1">
      <alignment vertical="center" wrapText="1"/>
      <protection locked="0"/>
    </xf>
    <xf numFmtId="0" fontId="5" fillId="0" borderId="82" xfId="2" applyFont="1" applyBorder="1" applyAlignment="1" applyProtection="1">
      <alignment horizontal="center"/>
      <protection locked="0"/>
    </xf>
    <xf numFmtId="0" fontId="4" fillId="0" borderId="51" xfId="2" applyFont="1" applyBorder="1"/>
    <xf numFmtId="2" fontId="60" fillId="17" borderId="91" xfId="2" applyNumberFormat="1" applyFont="1" applyFill="1" applyBorder="1" applyAlignment="1">
      <alignment horizontal="center"/>
    </xf>
    <xf numFmtId="2" fontId="61" fillId="18" borderId="49" xfId="2" applyNumberFormat="1" applyFont="1" applyFill="1" applyBorder="1" applyAlignment="1">
      <alignment horizontal="center" vertical="center"/>
    </xf>
    <xf numFmtId="166" fontId="23" fillId="17" borderId="83" xfId="2" applyNumberFormat="1" applyFont="1" applyFill="1" applyBorder="1"/>
    <xf numFmtId="49" fontId="23" fillId="17" borderId="91" xfId="2" applyNumberFormat="1" applyFont="1" applyFill="1" applyBorder="1"/>
    <xf numFmtId="0" fontId="62" fillId="18" borderId="91" xfId="2" applyFont="1" applyFill="1" applyBorder="1" applyAlignment="1">
      <alignment horizontal="center" vertical="center"/>
    </xf>
    <xf numFmtId="2" fontId="9" fillId="17" borderId="48" xfId="67" applyNumberFormat="1" applyFont="1" applyFill="1" applyBorder="1" applyAlignment="1" applyProtection="1">
      <alignment horizontal="right"/>
    </xf>
    <xf numFmtId="0" fontId="19" fillId="18" borderId="49" xfId="2" applyFont="1" applyFill="1" applyBorder="1" applyAlignment="1">
      <alignment vertical="center"/>
    </xf>
    <xf numFmtId="2" fontId="18" fillId="22" borderId="50" xfId="2" applyNumberFormat="1" applyFont="1" applyFill="1" applyBorder="1" applyAlignment="1">
      <alignment horizontal="right"/>
    </xf>
    <xf numFmtId="2" fontId="37" fillId="18" borderId="1" xfId="2" applyNumberFormat="1" applyFont="1" applyFill="1" applyBorder="1" applyAlignment="1">
      <alignment vertical="center"/>
    </xf>
    <xf numFmtId="0" fontId="63" fillId="18" borderId="1" xfId="2" applyFont="1" applyFill="1" applyBorder="1" applyAlignment="1">
      <alignment vertical="center" wrapText="1"/>
    </xf>
    <xf numFmtId="49" fontId="64" fillId="17" borderId="1" xfId="2" applyNumberFormat="1" applyFont="1" applyFill="1" applyBorder="1"/>
    <xf numFmtId="0" fontId="56" fillId="17" borderId="91" xfId="2" applyNumberFormat="1" applyFont="1" applyFill="1" applyBorder="1" applyAlignment="1">
      <alignment horizontal="center"/>
    </xf>
    <xf numFmtId="2" fontId="19" fillId="18" borderId="49" xfId="2" applyNumberFormat="1" applyFont="1" applyFill="1" applyBorder="1" applyAlignment="1">
      <alignment vertical="center"/>
    </xf>
    <xf numFmtId="0" fontId="5" fillId="0" borderId="86" xfId="2" applyFont="1" applyBorder="1" applyAlignment="1" applyProtection="1">
      <alignment vertical="center" wrapText="1"/>
      <protection locked="0"/>
    </xf>
    <xf numFmtId="49" fontId="4" fillId="17" borderId="11" xfId="2" applyNumberFormat="1" applyFill="1" applyBorder="1"/>
    <xf numFmtId="0" fontId="9" fillId="0" borderId="13" xfId="2" applyFont="1" applyBorder="1" applyAlignment="1" applyProtection="1">
      <alignment horizontal="center" vertical="center" wrapText="1"/>
      <protection locked="0"/>
    </xf>
    <xf numFmtId="164" fontId="22" fillId="0" borderId="67" xfId="56" applyFont="1" applyFill="1" applyBorder="1" applyAlignment="1" applyProtection="1">
      <alignment horizontal="right"/>
      <protection locked="0"/>
    </xf>
    <xf numFmtId="0" fontId="9" fillId="0" borderId="17" xfId="2" applyFont="1" applyBorder="1" applyProtection="1">
      <protection locked="0"/>
    </xf>
    <xf numFmtId="49" fontId="4" fillId="17" borderId="0" xfId="2" applyNumberFormat="1" applyFill="1" applyBorder="1"/>
    <xf numFmtId="166" fontId="4" fillId="17" borderId="0" xfId="2" applyNumberFormat="1" applyFill="1" applyBorder="1"/>
    <xf numFmtId="0" fontId="19" fillId="18" borderId="0" xfId="2" applyFont="1" applyFill="1" applyBorder="1" applyAlignment="1">
      <alignment vertical="center"/>
    </xf>
    <xf numFmtId="0" fontId="37" fillId="18" borderId="0" xfId="2" applyFont="1" applyFill="1" applyBorder="1" applyAlignment="1">
      <alignment vertical="center"/>
    </xf>
    <xf numFmtId="0" fontId="4" fillId="17" borderId="0" xfId="2" applyNumberFormat="1" applyFill="1" applyBorder="1"/>
    <xf numFmtId="49" fontId="4" fillId="0" borderId="0" xfId="2" applyNumberFormat="1" applyFill="1" applyBorder="1"/>
    <xf numFmtId="166" fontId="4" fillId="0" borderId="0" xfId="2" applyNumberFormat="1" applyFill="1" applyBorder="1"/>
    <xf numFmtId="0" fontId="2" fillId="0" borderId="0" xfId="65"/>
    <xf numFmtId="0" fontId="66" fillId="0" borderId="95" xfId="65" applyFont="1" applyBorder="1" applyAlignment="1">
      <alignment vertical="center" wrapText="1"/>
    </xf>
    <xf numFmtId="0" fontId="66" fillId="0" borderId="121" xfId="65" applyFont="1" applyBorder="1" applyAlignment="1">
      <alignment vertical="center" wrapText="1"/>
    </xf>
    <xf numFmtId="0" fontId="2" fillId="17" borderId="1" xfId="65" applyFill="1" applyBorder="1"/>
    <xf numFmtId="0" fontId="66" fillId="0" borderId="1" xfId="65" applyFont="1" applyBorder="1" applyAlignment="1">
      <alignment vertical="center" wrapText="1"/>
    </xf>
    <xf numFmtId="0" fontId="2" fillId="0" borderId="1" xfId="65" applyBorder="1"/>
    <xf numFmtId="2" fontId="2" fillId="17" borderId="1" xfId="65" applyNumberFormat="1" applyFill="1" applyBorder="1"/>
    <xf numFmtId="0" fontId="66" fillId="0" borderId="1" xfId="65" applyFont="1" applyBorder="1" applyAlignment="1">
      <alignment horizontal="right" vertical="center" wrapText="1"/>
    </xf>
    <xf numFmtId="0" fontId="66" fillId="0" borderId="121" xfId="65" applyFont="1" applyBorder="1" applyAlignment="1">
      <alignment horizontal="right" vertical="center" wrapText="1"/>
    </xf>
    <xf numFmtId="171" fontId="2" fillId="17" borderId="1" xfId="65" applyNumberFormat="1" applyFill="1" applyBorder="1"/>
    <xf numFmtId="171" fontId="2" fillId="0" borderId="0" xfId="65" applyNumberFormat="1"/>
    <xf numFmtId="0" fontId="65" fillId="0" borderId="1" xfId="65" applyFont="1" applyBorder="1" applyAlignment="1">
      <alignment vertical="center" wrapText="1"/>
    </xf>
    <xf numFmtId="167" fontId="66" fillId="0" borderId="1" xfId="65" applyNumberFormat="1" applyFont="1" applyBorder="1" applyAlignment="1">
      <alignment vertical="center" wrapText="1"/>
    </xf>
    <xf numFmtId="2" fontId="66" fillId="0" borderId="1" xfId="65" applyNumberFormat="1" applyFont="1" applyBorder="1" applyAlignment="1">
      <alignment vertical="center" wrapText="1"/>
    </xf>
    <xf numFmtId="0" fontId="67" fillId="17" borderId="121" xfId="65" applyFont="1" applyFill="1" applyBorder="1" applyAlignment="1">
      <alignment vertical="center" wrapText="1"/>
    </xf>
    <xf numFmtId="2" fontId="68" fillId="17" borderId="121" xfId="65" applyNumberFormat="1" applyFont="1" applyFill="1" applyBorder="1" applyAlignment="1">
      <alignment vertical="center" wrapText="1"/>
    </xf>
    <xf numFmtId="2" fontId="65" fillId="2" borderId="121" xfId="65" applyNumberFormat="1" applyFont="1" applyFill="1" applyBorder="1" applyAlignment="1">
      <alignment horizontal="right" vertical="center" wrapText="1"/>
    </xf>
    <xf numFmtId="0" fontId="14" fillId="0" borderId="0" xfId="65" applyFont="1" applyAlignment="1">
      <alignment vertical="center" wrapText="1"/>
    </xf>
    <xf numFmtId="0" fontId="66" fillId="0" borderId="39" xfId="65" applyFont="1" applyBorder="1" applyAlignment="1">
      <alignment vertical="center" wrapText="1"/>
    </xf>
    <xf numFmtId="0" fontId="0" fillId="17" borderId="1" xfId="0" applyNumberFormat="1" applyFill="1" applyBorder="1" applyAlignment="1">
      <alignment horizontal="right"/>
    </xf>
    <xf numFmtId="0" fontId="0" fillId="17" borderId="1" xfId="0" applyFill="1" applyBorder="1" applyAlignment="1">
      <alignment horizontal="left"/>
    </xf>
    <xf numFmtId="0" fontId="0" fillId="0" borderId="95" xfId="0" applyBorder="1" applyAlignment="1">
      <alignment wrapText="1"/>
    </xf>
    <xf numFmtId="0" fontId="48" fillId="20" borderId="89" xfId="0" applyFont="1" applyFill="1" applyBorder="1" applyAlignment="1">
      <alignment wrapText="1"/>
    </xf>
    <xf numFmtId="9" fontId="48" fillId="20" borderId="89" xfId="1" applyFont="1" applyFill="1" applyBorder="1"/>
    <xf numFmtId="0" fontId="1" fillId="0" borderId="95" xfId="0" applyFont="1" applyBorder="1"/>
    <xf numFmtId="0" fontId="1" fillId="0" borderId="123" xfId="0" applyFont="1" applyBorder="1"/>
    <xf numFmtId="0" fontId="0" fillId="0" borderId="95" xfId="0" applyBorder="1"/>
    <xf numFmtId="0" fontId="0" fillId="0" borderId="121" xfId="0" applyBorder="1"/>
    <xf numFmtId="0" fontId="1" fillId="0" borderId="95" xfId="0" applyFont="1" applyBorder="1" applyAlignment="1">
      <alignment wrapText="1"/>
    </xf>
    <xf numFmtId="0" fontId="0" fillId="24" borderId="3" xfId="0" applyFill="1" applyBorder="1"/>
    <xf numFmtId="0" fontId="0" fillId="24" borderId="4" xfId="0" applyFill="1" applyBorder="1"/>
    <xf numFmtId="0" fontId="1" fillId="24" borderId="4" xfId="0" applyFont="1" applyFill="1" applyBorder="1"/>
    <xf numFmtId="0" fontId="0" fillId="0" borderId="1" xfId="0" applyBorder="1" applyAlignment="1">
      <alignment horizontal="right"/>
    </xf>
    <xf numFmtId="0" fontId="5" fillId="0" borderId="0" xfId="67" applyFont="1" applyProtection="1"/>
    <xf numFmtId="0" fontId="5" fillId="0" borderId="0" xfId="67" applyFont="1" applyAlignment="1" applyProtection="1">
      <alignment wrapText="1"/>
    </xf>
    <xf numFmtId="0" fontId="5" fillId="0" borderId="0" xfId="67" applyFont="1" applyProtection="1">
      <protection locked="0"/>
    </xf>
    <xf numFmtId="0" fontId="8" fillId="16" borderId="6" xfId="67" applyFont="1" applyFill="1" applyBorder="1" applyAlignment="1" applyProtection="1">
      <alignment wrapText="1"/>
    </xf>
    <xf numFmtId="0" fontId="9" fillId="0" borderId="7" xfId="67" applyFont="1" applyFill="1" applyBorder="1" applyAlignment="1" applyProtection="1">
      <alignment horizontal="center" vertical="center" wrapText="1"/>
      <protection locked="0"/>
    </xf>
    <xf numFmtId="0" fontId="9" fillId="16" borderId="7" xfId="67" applyFont="1" applyFill="1" applyBorder="1" applyAlignment="1" applyProtection="1">
      <alignment wrapText="1"/>
    </xf>
    <xf numFmtId="0" fontId="9" fillId="0" borderId="7" xfId="67" applyNumberFormat="1" applyFont="1" applyFill="1" applyBorder="1" applyAlignment="1" applyProtection="1">
      <alignment horizontal="center" vertical="center" wrapText="1"/>
      <protection locked="0"/>
    </xf>
    <xf numFmtId="0" fontId="9" fillId="16" borderId="10" xfId="67" applyFont="1" applyFill="1" applyBorder="1" applyAlignment="1" applyProtection="1">
      <alignment wrapText="1"/>
    </xf>
    <xf numFmtId="0" fontId="9" fillId="16" borderId="10" xfId="67" applyFont="1" applyFill="1" applyBorder="1" applyAlignment="1" applyProtection="1">
      <alignment horizontal="center" vertical="center" wrapText="1"/>
    </xf>
    <xf numFmtId="0" fontId="9" fillId="0" borderId="10" xfId="67" applyFont="1" applyFill="1" applyBorder="1" applyAlignment="1" applyProtection="1">
      <alignment horizontal="center" vertical="center" wrapText="1"/>
      <protection locked="0"/>
    </xf>
    <xf numFmtId="0" fontId="9" fillId="16" borderId="11" xfId="67" applyFont="1" applyFill="1" applyBorder="1" applyAlignment="1" applyProtection="1">
      <alignment wrapText="1"/>
    </xf>
    <xf numFmtId="0" fontId="5" fillId="0" borderId="12" xfId="67" applyFont="1" applyFill="1" applyBorder="1" applyAlignment="1" applyProtection="1">
      <alignment horizontal="center" vertical="center" wrapText="1"/>
      <protection locked="0"/>
    </xf>
    <xf numFmtId="0" fontId="9" fillId="16" borderId="12" xfId="67" applyFont="1" applyFill="1" applyBorder="1" applyAlignment="1" applyProtection="1">
      <alignment wrapText="1"/>
    </xf>
    <xf numFmtId="0" fontId="9" fillId="0" borderId="12" xfId="67" applyFont="1" applyFill="1" applyBorder="1" applyAlignment="1" applyProtection="1">
      <alignment horizontal="center" vertical="center" wrapText="1"/>
      <protection locked="0"/>
    </xf>
    <xf numFmtId="0" fontId="9" fillId="16" borderId="16" xfId="67" applyFont="1" applyFill="1" applyBorder="1" applyAlignment="1" applyProtection="1">
      <alignment wrapText="1"/>
    </xf>
    <xf numFmtId="0" fontId="9" fillId="16" borderId="16" xfId="67" applyFont="1" applyFill="1" applyBorder="1" applyAlignment="1" applyProtection="1">
      <alignment horizontal="right" wrapText="1"/>
    </xf>
    <xf numFmtId="0" fontId="9" fillId="0" borderId="16" xfId="67" applyFont="1" applyFill="1" applyBorder="1" applyAlignment="1" applyProtection="1">
      <alignment horizontal="center" vertical="center" wrapText="1"/>
      <protection locked="0"/>
    </xf>
    <xf numFmtId="0" fontId="9" fillId="0" borderId="17" xfId="67" applyFont="1" applyBorder="1" applyProtection="1"/>
    <xf numFmtId="0" fontId="9" fillId="0" borderId="0" xfId="67" applyFont="1" applyBorder="1" applyAlignment="1" applyProtection="1">
      <alignment wrapText="1"/>
      <protection locked="0"/>
    </xf>
    <xf numFmtId="0" fontId="5" fillId="0" borderId="0" xfId="67" applyFont="1" applyAlignment="1" applyProtection="1">
      <alignment wrapText="1"/>
      <protection locked="0"/>
    </xf>
    <xf numFmtId="0" fontId="9" fillId="0" borderId="0" xfId="67" applyFont="1" applyBorder="1" applyProtection="1">
      <protection locked="0"/>
    </xf>
    <xf numFmtId="2" fontId="9" fillId="0" borderId="0" xfId="67" applyNumberFormat="1" applyFont="1" applyBorder="1" applyProtection="1"/>
    <xf numFmtId="2" fontId="9" fillId="0" borderId="0" xfId="67" applyNumberFormat="1" applyFont="1" applyBorder="1" applyProtection="1">
      <protection locked="0"/>
    </xf>
    <xf numFmtId="0" fontId="9" fillId="16" borderId="20" xfId="67" applyFont="1" applyFill="1" applyBorder="1" applyAlignment="1" applyProtection="1">
      <alignment horizontal="center" vertical="center" wrapText="1"/>
    </xf>
    <xf numFmtId="0" fontId="5" fillId="16" borderId="9" xfId="67" applyFont="1" applyFill="1" applyBorder="1" applyAlignment="1" applyProtection="1">
      <alignment horizontal="center" vertical="center" wrapText="1"/>
    </xf>
    <xf numFmtId="0" fontId="10" fillId="0" borderId="28" xfId="67" applyFont="1" applyFill="1" applyBorder="1" applyAlignment="1" applyProtection="1">
      <alignment horizontal="center" wrapText="1"/>
      <protection locked="0"/>
    </xf>
    <xf numFmtId="0" fontId="9" fillId="0" borderId="17" xfId="67" applyFont="1" applyFill="1" applyBorder="1" applyAlignment="1" applyProtection="1">
      <alignment wrapText="1"/>
      <protection locked="0"/>
    </xf>
    <xf numFmtId="0" fontId="5" fillId="0" borderId="1" xfId="67" applyFont="1" applyBorder="1" applyProtection="1">
      <protection locked="0"/>
    </xf>
    <xf numFmtId="0" fontId="9" fillId="16" borderId="119" xfId="67" applyFont="1" applyFill="1" applyBorder="1" applyAlignment="1" applyProtection="1">
      <alignment horizontal="center"/>
    </xf>
    <xf numFmtId="0" fontId="9" fillId="16" borderId="110" xfId="67" applyFont="1" applyFill="1" applyBorder="1" applyAlignment="1" applyProtection="1">
      <alignment horizontal="center"/>
    </xf>
    <xf numFmtId="0" fontId="9" fillId="16" borderId="109" xfId="67" applyFont="1" applyFill="1" applyBorder="1" applyAlignment="1" applyProtection="1">
      <alignment horizontal="center"/>
    </xf>
    <xf numFmtId="0" fontId="9" fillId="16" borderId="108" xfId="67" applyFont="1" applyFill="1" applyBorder="1" applyAlignment="1" applyProtection="1">
      <alignment horizontal="center"/>
    </xf>
    <xf numFmtId="0" fontId="9" fillId="16" borderId="39" xfId="67" applyFont="1" applyFill="1" applyBorder="1" applyAlignment="1" applyProtection="1">
      <alignment horizontal="center"/>
    </xf>
    <xf numFmtId="0" fontId="5" fillId="0" borderId="19" xfId="67" applyFont="1" applyBorder="1" applyAlignment="1" applyProtection="1">
      <alignment horizontal="center" vertical="center" wrapText="1"/>
      <protection locked="0"/>
    </xf>
    <xf numFmtId="0" fontId="12" fillId="0" borderId="87" xfId="67" applyFont="1" applyBorder="1" applyAlignment="1">
      <alignment wrapText="1"/>
    </xf>
    <xf numFmtId="0" fontId="5" fillId="0" borderId="89" xfId="67" applyFont="1" applyBorder="1" applyProtection="1">
      <protection locked="0"/>
    </xf>
    <xf numFmtId="0" fontId="5" fillId="0" borderId="89" xfId="67" applyFont="1" applyBorder="1" applyAlignment="1" applyProtection="1">
      <alignment wrapText="1"/>
      <protection locked="0"/>
    </xf>
    <xf numFmtId="0" fontId="5" fillId="0" borderId="89" xfId="67" applyFont="1" applyBorder="1" applyAlignment="1" applyProtection="1">
      <alignment horizontal="left" vertical="center" wrapText="1"/>
      <protection locked="0"/>
    </xf>
    <xf numFmtId="0" fontId="5" fillId="0" borderId="89" xfId="67" applyFont="1" applyBorder="1" applyAlignment="1" applyProtection="1">
      <alignment vertical="center" wrapText="1"/>
      <protection locked="0"/>
    </xf>
    <xf numFmtId="164" fontId="5" fillId="0" borderId="50" xfId="67" applyNumberFormat="1" applyFont="1" applyBorder="1" applyAlignment="1" applyProtection="1">
      <alignment vertical="center" wrapText="1"/>
      <protection locked="0"/>
    </xf>
    <xf numFmtId="0" fontId="5" fillId="0" borderId="49" xfId="67" applyFont="1" applyBorder="1" applyAlignment="1" applyProtection="1">
      <alignment vertical="center" wrapText="1"/>
      <protection locked="0"/>
    </xf>
    <xf numFmtId="0" fontId="5" fillId="0" borderId="48" xfId="67" applyFont="1" applyBorder="1" applyAlignment="1" applyProtection="1">
      <alignment vertical="center" wrapText="1"/>
      <protection locked="0"/>
    </xf>
    <xf numFmtId="0" fontId="5" fillId="0" borderId="50" xfId="67" applyFont="1" applyBorder="1" applyAlignment="1" applyProtection="1">
      <alignment vertical="center" wrapText="1"/>
      <protection locked="0"/>
    </xf>
    <xf numFmtId="0" fontId="5" fillId="0" borderId="1" xfId="67" applyFont="1" applyBorder="1" applyAlignment="1" applyProtection="1">
      <alignment vertical="center" wrapText="1"/>
      <protection locked="0"/>
    </xf>
    <xf numFmtId="0" fontId="5" fillId="0" borderId="91" xfId="67" applyFont="1" applyBorder="1" applyProtection="1">
      <protection locked="0"/>
    </xf>
    <xf numFmtId="0" fontId="69" fillId="18" borderId="50" xfId="67" applyFont="1" applyFill="1" applyBorder="1" applyAlignment="1">
      <alignment vertical="center" wrapText="1"/>
    </xf>
    <xf numFmtId="0" fontId="5" fillId="0" borderId="1" xfId="67" applyFont="1" applyBorder="1" applyAlignment="1" applyProtection="1">
      <alignment wrapText="1"/>
      <protection locked="0"/>
    </xf>
    <xf numFmtId="49" fontId="4" fillId="17" borderId="1" xfId="67" applyNumberFormat="1" applyFill="1" applyBorder="1"/>
    <xf numFmtId="0" fontId="5" fillId="0" borderId="50" xfId="67" applyFont="1" applyBorder="1" applyProtection="1">
      <protection locked="0"/>
    </xf>
    <xf numFmtId="0" fontId="19" fillId="17" borderId="49" xfId="67" applyFont="1" applyFill="1" applyBorder="1" applyAlignment="1">
      <alignment horizontal="center" vertical="center" wrapText="1"/>
    </xf>
    <xf numFmtId="2" fontId="2" fillId="0" borderId="48" xfId="61" applyNumberFormat="1" applyFont="1" applyBorder="1" applyAlignment="1">
      <alignment horizontal="right"/>
    </xf>
    <xf numFmtId="0" fontId="19" fillId="17" borderId="49" xfId="67" applyFont="1" applyFill="1" applyBorder="1" applyAlignment="1">
      <alignment horizontal="right" vertical="center" wrapText="1"/>
    </xf>
    <xf numFmtId="2" fontId="4" fillId="17" borderId="48" xfId="67" applyNumberFormat="1" applyFont="1" applyFill="1" applyBorder="1" applyAlignment="1">
      <alignment horizontal="center" vertical="center"/>
    </xf>
    <xf numFmtId="2" fontId="5" fillId="0" borderId="49" xfId="67" applyNumberFormat="1" applyFont="1" applyBorder="1" applyProtection="1">
      <protection locked="0"/>
    </xf>
    <xf numFmtId="2" fontId="4" fillId="17" borderId="50" xfId="67" applyNumberFormat="1" applyFont="1" applyFill="1" applyBorder="1" applyAlignment="1">
      <alignment horizontal="center" vertical="center"/>
    </xf>
    <xf numFmtId="2" fontId="5" fillId="0" borderId="1" xfId="67" applyNumberFormat="1" applyFont="1" applyBorder="1" applyProtection="1">
      <protection locked="0"/>
    </xf>
    <xf numFmtId="0" fontId="19" fillId="18" borderId="1" xfId="67" applyFont="1" applyFill="1" applyBorder="1" applyAlignment="1">
      <alignment horizontal="right" vertical="center"/>
    </xf>
    <xf numFmtId="167" fontId="5" fillId="0" borderId="1" xfId="67" applyNumberFormat="1" applyFont="1" applyBorder="1" applyProtection="1">
      <protection locked="0"/>
    </xf>
    <xf numFmtId="0" fontId="69" fillId="18" borderId="50" xfId="67" applyFont="1" applyFill="1" applyBorder="1" applyAlignment="1">
      <alignment vertical="center"/>
    </xf>
    <xf numFmtId="0" fontId="69" fillId="18" borderId="1" xfId="67" applyFont="1" applyFill="1" applyBorder="1" applyAlignment="1">
      <alignment vertical="center"/>
    </xf>
    <xf numFmtId="4" fontId="69" fillId="18" borderId="1" xfId="67" applyNumberFormat="1" applyFont="1" applyFill="1" applyBorder="1" applyAlignment="1">
      <alignment horizontal="right" vertical="center"/>
    </xf>
    <xf numFmtId="0" fontId="45" fillId="17" borderId="49" xfId="67" applyFont="1" applyFill="1" applyBorder="1" applyAlignment="1">
      <alignment horizontal="center" vertical="center" wrapText="1"/>
    </xf>
    <xf numFmtId="167" fontId="14" fillId="0" borderId="49" xfId="67" applyNumberFormat="1" applyFont="1" applyBorder="1"/>
    <xf numFmtId="0" fontId="69" fillId="0" borderId="56" xfId="67" applyFont="1" applyBorder="1" applyAlignment="1">
      <alignment horizontal="right" vertical="center"/>
    </xf>
    <xf numFmtId="0" fontId="69" fillId="18" borderId="57" xfId="67" applyFont="1" applyFill="1" applyBorder="1" applyAlignment="1">
      <alignment vertical="center"/>
    </xf>
    <xf numFmtId="167" fontId="5" fillId="0" borderId="0" xfId="67" applyNumberFormat="1" applyFont="1" applyProtection="1">
      <protection locked="0"/>
    </xf>
    <xf numFmtId="0" fontId="5" fillId="0" borderId="6" xfId="67" applyFont="1" applyBorder="1" applyProtection="1">
      <protection locked="0"/>
    </xf>
    <xf numFmtId="0" fontId="19" fillId="18" borderId="121" xfId="67" applyFont="1" applyFill="1" applyBorder="1" applyAlignment="1">
      <alignment vertical="center"/>
    </xf>
    <xf numFmtId="0" fontId="5" fillId="0" borderId="95" xfId="67" applyFont="1" applyBorder="1" applyProtection="1">
      <protection locked="0"/>
    </xf>
    <xf numFmtId="0" fontId="5" fillId="0" borderId="95" xfId="67" applyFont="1" applyBorder="1" applyAlignment="1" applyProtection="1">
      <alignment wrapText="1"/>
      <protection locked="0"/>
    </xf>
    <xf numFmtId="49" fontId="4" fillId="17" borderId="95" xfId="67" applyNumberFormat="1" applyFont="1" applyFill="1" applyBorder="1"/>
    <xf numFmtId="0" fontId="19" fillId="18" borderId="95" xfId="67" applyFont="1" applyFill="1" applyBorder="1" applyAlignment="1">
      <alignment horizontal="right" vertical="center"/>
    </xf>
    <xf numFmtId="1" fontId="14" fillId="0" borderId="49" xfId="67" applyNumberFormat="1" applyFont="1" applyBorder="1"/>
    <xf numFmtId="0" fontId="19" fillId="18" borderId="1" xfId="67" applyFont="1" applyFill="1" applyBorder="1" applyAlignment="1">
      <alignment vertical="center"/>
    </xf>
    <xf numFmtId="0" fontId="5" fillId="0" borderId="57" xfId="67" applyFont="1" applyBorder="1" applyAlignment="1" applyProtection="1">
      <alignment horizontal="center" vertical="center" wrapText="1"/>
      <protection locked="0"/>
    </xf>
    <xf numFmtId="0" fontId="5" fillId="0" borderId="14" xfId="67" applyFont="1" applyBorder="1" applyAlignment="1" applyProtection="1">
      <alignment horizontal="left" vertical="center" wrapText="1"/>
      <protection locked="0"/>
    </xf>
    <xf numFmtId="0" fontId="5" fillId="0" borderId="57" xfId="67" applyFont="1" applyBorder="1" applyAlignment="1" applyProtection="1">
      <alignment vertical="center" wrapText="1"/>
      <protection locked="0"/>
    </xf>
    <xf numFmtId="0" fontId="5" fillId="0" borderId="11" xfId="67" applyFont="1" applyBorder="1" applyAlignment="1" applyProtection="1">
      <alignment horizontal="center" vertical="center" wrapText="1"/>
      <protection locked="0"/>
    </xf>
    <xf numFmtId="4" fontId="5" fillId="0" borderId="55" xfId="67" applyNumberFormat="1" applyFont="1" applyBorder="1" applyAlignment="1" applyProtection="1">
      <alignment horizontal="center" vertical="center" wrapText="1"/>
      <protection locked="0"/>
    </xf>
    <xf numFmtId="0" fontId="9" fillId="0" borderId="16" xfId="67" applyFont="1" applyBorder="1" applyAlignment="1" applyProtection="1">
      <alignment horizontal="center" vertical="center" wrapText="1"/>
      <protection locked="0"/>
    </xf>
    <xf numFmtId="0" fontId="5" fillId="0" borderId="52" xfId="67" applyFont="1" applyBorder="1" applyAlignment="1" applyProtection="1">
      <alignment horizontal="center" vertical="center" wrapText="1"/>
      <protection locked="0"/>
    </xf>
    <xf numFmtId="4" fontId="5" fillId="0" borderId="48" xfId="67" applyNumberFormat="1" applyFont="1" applyBorder="1" applyAlignment="1" applyProtection="1">
      <alignment vertical="center" wrapText="1"/>
      <protection locked="0"/>
    </xf>
    <xf numFmtId="4" fontId="5" fillId="0" borderId="49" xfId="67" applyNumberFormat="1" applyFont="1" applyBorder="1" applyAlignment="1" applyProtection="1">
      <alignment vertical="center" wrapText="1"/>
      <protection locked="0"/>
    </xf>
    <xf numFmtId="4" fontId="5" fillId="0" borderId="87" xfId="67" applyNumberFormat="1" applyFont="1" applyBorder="1" applyAlignment="1" applyProtection="1">
      <alignment vertical="center" wrapText="1"/>
      <protection locked="0"/>
    </xf>
    <xf numFmtId="4" fontId="5" fillId="0" borderId="89" xfId="67" applyNumberFormat="1" applyFont="1" applyBorder="1" applyAlignment="1" applyProtection="1">
      <alignment vertical="center" wrapText="1"/>
      <protection locked="0"/>
    </xf>
    <xf numFmtId="4" fontId="5" fillId="0" borderId="55" xfId="67" applyNumberFormat="1" applyFont="1" applyBorder="1" applyAlignment="1" applyProtection="1">
      <alignment vertical="center" wrapText="1"/>
      <protection locked="0"/>
    </xf>
    <xf numFmtId="4" fontId="5" fillId="0" borderId="16" xfId="67" applyNumberFormat="1" applyFont="1" applyBorder="1" applyAlignment="1" applyProtection="1">
      <alignment vertical="center" wrapText="1"/>
      <protection locked="0"/>
    </xf>
    <xf numFmtId="0" fontId="5" fillId="16" borderId="56" xfId="67" applyFont="1" applyFill="1" applyBorder="1" applyAlignment="1" applyProtection="1">
      <alignment horizontal="left"/>
    </xf>
    <xf numFmtId="0" fontId="5" fillId="16" borderId="15" xfId="67" applyFont="1" applyFill="1" applyBorder="1" applyAlignment="1" applyProtection="1">
      <alignment horizontal="left"/>
    </xf>
    <xf numFmtId="0" fontId="5" fillId="16" borderId="57" xfId="67" applyFont="1" applyFill="1" applyBorder="1" applyProtection="1"/>
    <xf numFmtId="0" fontId="5" fillId="16" borderId="15" xfId="67" applyFont="1" applyFill="1" applyBorder="1" applyAlignment="1" applyProtection="1">
      <alignment wrapText="1"/>
    </xf>
    <xf numFmtId="0" fontId="5" fillId="16" borderId="15" xfId="67" applyFont="1" applyFill="1" applyBorder="1" applyProtection="1"/>
    <xf numFmtId="164" fontId="9" fillId="16" borderId="77" xfId="56" applyFont="1" applyFill="1" applyBorder="1" applyAlignment="1" applyProtection="1">
      <alignment horizontal="center"/>
    </xf>
    <xf numFmtId="164" fontId="5" fillId="0" borderId="0" xfId="67" applyNumberFormat="1" applyFont="1" applyProtection="1"/>
    <xf numFmtId="0" fontId="5" fillId="16" borderId="59" xfId="67" applyFont="1" applyFill="1" applyBorder="1" applyProtection="1"/>
    <xf numFmtId="0" fontId="5" fillId="16" borderId="59" xfId="67" applyFont="1" applyFill="1" applyBorder="1" applyAlignment="1" applyProtection="1">
      <alignment wrapText="1"/>
    </xf>
    <xf numFmtId="164" fontId="5" fillId="0" borderId="0" xfId="67" applyNumberFormat="1" applyFont="1" applyProtection="1">
      <protection locked="0"/>
    </xf>
    <xf numFmtId="0" fontId="5" fillId="16" borderId="64" xfId="67" applyFont="1" applyFill="1" applyBorder="1" applyAlignment="1" applyProtection="1">
      <alignment horizontal="left"/>
    </xf>
    <xf numFmtId="0" fontId="5" fillId="16" borderId="65" xfId="67" applyFont="1" applyFill="1" applyBorder="1" applyAlignment="1" applyProtection="1">
      <alignment horizontal="left"/>
    </xf>
    <xf numFmtId="0" fontId="5" fillId="16" borderId="64" xfId="67" applyFont="1" applyFill="1" applyBorder="1" applyAlignment="1" applyProtection="1"/>
    <xf numFmtId="0" fontId="5" fillId="16" borderId="65" xfId="67" applyFont="1" applyFill="1" applyBorder="1" applyAlignment="1" applyProtection="1"/>
    <xf numFmtId="0" fontId="5" fillId="16" borderId="65" xfId="67" applyFont="1" applyFill="1" applyBorder="1" applyAlignment="1" applyProtection="1">
      <alignment wrapText="1"/>
    </xf>
    <xf numFmtId="0" fontId="5" fillId="16" borderId="69" xfId="67" applyFont="1" applyFill="1" applyBorder="1" applyAlignment="1" applyProtection="1"/>
    <xf numFmtId="10" fontId="9" fillId="0" borderId="66" xfId="67" applyNumberFormat="1" applyFont="1" applyFill="1" applyBorder="1" applyAlignment="1" applyProtection="1">
      <alignment horizontal="right"/>
      <protection locked="0"/>
    </xf>
    <xf numFmtId="0" fontId="5" fillId="16" borderId="65" xfId="67" applyFont="1" applyFill="1" applyBorder="1" applyProtection="1"/>
    <xf numFmtId="10" fontId="5" fillId="16" borderId="69" xfId="67" applyNumberFormat="1" applyFont="1" applyFill="1" applyBorder="1" applyProtection="1"/>
    <xf numFmtId="9" fontId="5" fillId="16" borderId="65" xfId="67" applyNumberFormat="1" applyFont="1" applyFill="1" applyBorder="1" applyProtection="1"/>
    <xf numFmtId="9" fontId="5" fillId="16" borderId="69" xfId="67" applyNumberFormat="1" applyFont="1" applyFill="1" applyBorder="1" applyProtection="1"/>
    <xf numFmtId="10" fontId="5" fillId="16" borderId="65" xfId="67" applyNumberFormat="1" applyFont="1" applyFill="1" applyBorder="1" applyProtection="1"/>
    <xf numFmtId="0" fontId="5" fillId="16" borderId="70" xfId="67" applyFont="1" applyFill="1" applyBorder="1" applyAlignment="1" applyProtection="1">
      <alignment horizontal="left"/>
    </xf>
    <xf numFmtId="0" fontId="5" fillId="16" borderId="71" xfId="67" applyFont="1" applyFill="1" applyBorder="1" applyAlignment="1" applyProtection="1">
      <alignment horizontal="left"/>
    </xf>
    <xf numFmtId="0" fontId="5" fillId="16" borderId="71" xfId="67" applyFont="1" applyFill="1" applyBorder="1" applyProtection="1"/>
    <xf numFmtId="0" fontId="5" fillId="16" borderId="71" xfId="67" applyFont="1" applyFill="1" applyBorder="1" applyAlignment="1" applyProtection="1">
      <alignment wrapText="1"/>
    </xf>
    <xf numFmtId="10" fontId="5" fillId="16" borderId="71" xfId="67" applyNumberFormat="1" applyFont="1" applyFill="1" applyBorder="1" applyProtection="1"/>
    <xf numFmtId="9" fontId="5" fillId="16" borderId="72" xfId="67" applyNumberFormat="1" applyFont="1" applyFill="1" applyBorder="1" applyProtection="1"/>
    <xf numFmtId="0" fontId="9" fillId="16" borderId="3" xfId="67" applyFont="1" applyFill="1" applyBorder="1" applyAlignment="1" applyProtection="1"/>
    <xf numFmtId="0" fontId="9" fillId="16" borderId="4" xfId="67" applyFont="1" applyFill="1" applyBorder="1" applyAlignment="1" applyProtection="1"/>
    <xf numFmtId="0" fontId="9" fillId="16" borderId="4" xfId="67" applyFont="1" applyFill="1" applyBorder="1" applyAlignment="1" applyProtection="1">
      <alignment wrapText="1"/>
    </xf>
    <xf numFmtId="0" fontId="9" fillId="16" borderId="5" xfId="67" applyFont="1" applyFill="1" applyBorder="1" applyAlignment="1" applyProtection="1"/>
    <xf numFmtId="164" fontId="5" fillId="16" borderId="76" xfId="67" applyNumberFormat="1" applyFont="1" applyFill="1" applyBorder="1" applyProtection="1"/>
    <xf numFmtId="164" fontId="5" fillId="16" borderId="77" xfId="67" applyNumberFormat="1" applyFont="1" applyFill="1" applyBorder="1" applyProtection="1"/>
    <xf numFmtId="0" fontId="9" fillId="0" borderId="18" xfId="67" applyFont="1" applyFill="1" applyBorder="1" applyAlignment="1" applyProtection="1"/>
    <xf numFmtId="0" fontId="9" fillId="0" borderId="78" xfId="67" applyFont="1" applyFill="1" applyBorder="1" applyAlignment="1" applyProtection="1"/>
    <xf numFmtId="0" fontId="9" fillId="0" borderId="78" xfId="67" applyFont="1" applyFill="1" applyBorder="1" applyAlignment="1" applyProtection="1">
      <alignment wrapText="1"/>
    </xf>
    <xf numFmtId="164" fontId="5" fillId="0" borderId="3" xfId="67" applyNumberFormat="1" applyFont="1" applyFill="1" applyBorder="1" applyProtection="1">
      <protection locked="0"/>
    </xf>
    <xf numFmtId="164" fontId="5" fillId="0" borderId="5" xfId="67" applyNumberFormat="1" applyFont="1" applyFill="1" applyBorder="1" applyProtection="1">
      <protection locked="0"/>
    </xf>
    <xf numFmtId="0" fontId="5" fillId="0" borderId="0" xfId="67" applyFont="1" applyFill="1" applyProtection="1">
      <protection locked="0"/>
    </xf>
    <xf numFmtId="164" fontId="9" fillId="16" borderId="77" xfId="67" applyNumberFormat="1" applyFont="1" applyFill="1" applyBorder="1" applyProtection="1"/>
    <xf numFmtId="0" fontId="5" fillId="0" borderId="3" xfId="67" applyFont="1" applyBorder="1" applyProtection="1"/>
    <xf numFmtId="0" fontId="5" fillId="0" borderId="4" xfId="67" applyFont="1" applyBorder="1" applyAlignment="1" applyProtection="1">
      <alignment wrapText="1"/>
    </xf>
    <xf numFmtId="0" fontId="5" fillId="0" borderId="4" xfId="67" applyFont="1" applyBorder="1" applyProtection="1"/>
    <xf numFmtId="0" fontId="5" fillId="0" borderId="95" xfId="67" applyFont="1" applyFill="1" applyBorder="1" applyProtection="1">
      <protection locked="0"/>
    </xf>
    <xf numFmtId="0" fontId="5" fillId="16" borderId="79" xfId="67" applyFont="1" applyFill="1" applyBorder="1" applyProtection="1"/>
    <xf numFmtId="0" fontId="5" fillId="16" borderId="79" xfId="67" applyFont="1" applyFill="1" applyBorder="1" applyAlignment="1" applyProtection="1">
      <alignment wrapText="1"/>
    </xf>
    <xf numFmtId="0" fontId="5" fillId="16" borderId="80" xfId="67" applyFont="1" applyFill="1" applyBorder="1" applyProtection="1"/>
    <xf numFmtId="0" fontId="5" fillId="16" borderId="80" xfId="67" applyFont="1" applyFill="1" applyBorder="1" applyAlignment="1" applyProtection="1">
      <alignment wrapText="1"/>
    </xf>
    <xf numFmtId="0" fontId="5" fillId="0" borderId="1" xfId="67" applyFont="1" applyBorder="1" applyAlignment="1">
      <alignment wrapText="1"/>
    </xf>
    <xf numFmtId="0" fontId="5" fillId="16" borderId="81" xfId="67" applyFont="1" applyFill="1" applyBorder="1" applyProtection="1"/>
    <xf numFmtId="0" fontId="5" fillId="16" borderId="82" xfId="67" applyFont="1" applyFill="1" applyBorder="1" applyAlignment="1" applyProtection="1"/>
    <xf numFmtId="0" fontId="5" fillId="16" borderId="83" xfId="67" applyFont="1" applyFill="1" applyBorder="1" applyProtection="1"/>
    <xf numFmtId="0" fontId="5" fillId="16" borderId="83" xfId="67" applyFont="1" applyFill="1" applyBorder="1" applyAlignment="1" applyProtection="1">
      <alignment wrapText="1"/>
    </xf>
    <xf numFmtId="0" fontId="9" fillId="0" borderId="1" xfId="67" applyFont="1" applyFill="1" applyBorder="1" applyAlignment="1" applyProtection="1">
      <alignment wrapText="1"/>
      <protection locked="0"/>
    </xf>
    <xf numFmtId="0" fontId="5" fillId="0" borderId="1" xfId="67" applyFont="1" applyFill="1" applyBorder="1" applyAlignment="1" applyProtection="1">
      <alignment wrapText="1"/>
      <protection locked="0"/>
    </xf>
    <xf numFmtId="0" fontId="5" fillId="16" borderId="19" xfId="67" applyFont="1" applyFill="1" applyBorder="1" applyProtection="1"/>
    <xf numFmtId="0" fontId="5" fillId="16" borderId="84" xfId="67" applyFont="1" applyFill="1" applyBorder="1" applyAlignment="1" applyProtection="1">
      <alignment wrapText="1"/>
    </xf>
    <xf numFmtId="0" fontId="5" fillId="16" borderId="84" xfId="67" applyFont="1" applyFill="1" applyBorder="1" applyProtection="1"/>
    <xf numFmtId="0" fontId="5" fillId="0" borderId="1" xfId="67" applyFont="1" applyFill="1" applyBorder="1" applyAlignment="1" applyProtection="1">
      <alignment horizontal="left" wrapText="1"/>
      <protection locked="0"/>
    </xf>
    <xf numFmtId="0" fontId="5" fillId="16" borderId="85" xfId="67" applyFont="1" applyFill="1" applyBorder="1" applyProtection="1"/>
    <xf numFmtId="0" fontId="9" fillId="0" borderId="1" xfId="67" applyFont="1" applyFill="1" applyBorder="1" applyAlignment="1" applyProtection="1">
      <alignment horizontal="left" wrapText="1"/>
      <protection locked="0"/>
    </xf>
    <xf numFmtId="10" fontId="5" fillId="0" borderId="1" xfId="67" applyNumberFormat="1" applyFont="1" applyFill="1" applyBorder="1" applyAlignment="1" applyProtection="1">
      <alignment horizontal="left" wrapText="1"/>
      <protection locked="0"/>
    </xf>
    <xf numFmtId="0" fontId="5" fillId="16" borderId="11" xfId="67" applyFont="1" applyFill="1" applyBorder="1" applyProtection="1"/>
    <xf numFmtId="0" fontId="5" fillId="16" borderId="86" xfId="67" applyFont="1" applyFill="1" applyBorder="1" applyAlignment="1" applyProtection="1">
      <alignment wrapText="1"/>
    </xf>
    <xf numFmtId="0" fontId="5" fillId="16" borderId="86" xfId="67" applyFont="1" applyFill="1" applyBorder="1" applyProtection="1"/>
    <xf numFmtId="0" fontId="9" fillId="0" borderId="0" xfId="67" applyFont="1" applyFill="1" applyBorder="1" applyAlignment="1" applyProtection="1">
      <alignment vertical="top" wrapText="1"/>
      <protection locked="0"/>
    </xf>
    <xf numFmtId="0" fontId="5" fillId="0" borderId="18" xfId="67" applyFont="1" applyBorder="1" applyProtection="1">
      <protection locked="0"/>
    </xf>
    <xf numFmtId="0" fontId="5" fillId="0" borderId="78" xfId="67" applyFont="1" applyBorder="1" applyAlignment="1" applyProtection="1">
      <alignment wrapText="1"/>
      <protection locked="0"/>
    </xf>
    <xf numFmtId="0" fontId="5" fillId="0" borderId="78" xfId="67" applyFont="1" applyBorder="1" applyProtection="1">
      <protection locked="0"/>
    </xf>
    <xf numFmtId="0" fontId="5" fillId="0" borderId="0" xfId="67" applyFont="1" applyBorder="1" applyProtection="1">
      <protection locked="0"/>
    </xf>
    <xf numFmtId="0" fontId="5" fillId="0" borderId="17" xfId="67" applyFont="1" applyBorder="1" applyProtection="1">
      <protection locked="0"/>
    </xf>
    <xf numFmtId="0" fontId="5" fillId="0" borderId="0" xfId="67" applyFont="1" applyBorder="1" applyAlignment="1" applyProtection="1">
      <alignment wrapText="1"/>
      <protection locked="0"/>
    </xf>
    <xf numFmtId="0" fontId="5" fillId="0" borderId="56" xfId="67" applyFont="1" applyBorder="1" applyProtection="1">
      <protection locked="0"/>
    </xf>
    <xf numFmtId="0" fontId="5" fillId="0" borderId="14" xfId="67" applyFont="1" applyBorder="1" applyAlignment="1" applyProtection="1">
      <alignment wrapText="1"/>
      <protection locked="0"/>
    </xf>
    <xf numFmtId="0" fontId="5" fillId="0" borderId="14" xfId="67" applyFont="1" applyBorder="1" applyProtection="1">
      <protection locked="0"/>
    </xf>
    <xf numFmtId="0" fontId="19" fillId="18" borderId="77" xfId="0" applyFont="1" applyFill="1" applyBorder="1" applyAlignment="1">
      <alignment vertical="center"/>
    </xf>
    <xf numFmtId="0" fontId="19" fillId="18" borderId="5" xfId="0" applyFont="1" applyFill="1" applyBorder="1" applyAlignment="1">
      <alignment vertical="center"/>
    </xf>
    <xf numFmtId="0" fontId="19" fillId="18" borderId="57" xfId="0" applyFont="1" applyFill="1" applyBorder="1" applyAlignment="1">
      <alignment vertical="center"/>
    </xf>
    <xf numFmtId="0" fontId="19" fillId="18" borderId="15" xfId="0" applyFont="1" applyFill="1" applyBorder="1" applyAlignment="1">
      <alignment vertical="center"/>
    </xf>
    <xf numFmtId="0" fontId="19" fillId="18" borderId="15" xfId="0" applyFont="1" applyFill="1" applyBorder="1" applyAlignment="1">
      <alignment horizontal="right" vertical="center"/>
    </xf>
    <xf numFmtId="4" fontId="19" fillId="18" borderId="15" xfId="0" applyNumberFormat="1" applyFont="1" applyFill="1" applyBorder="1" applyAlignment="1">
      <alignment horizontal="right" vertical="center"/>
    </xf>
    <xf numFmtId="0" fontId="70" fillId="0" borderId="0" xfId="0" applyFont="1" applyAlignment="1">
      <alignment vertical="center"/>
    </xf>
    <xf numFmtId="0" fontId="0" fillId="17" borderId="1" xfId="0" applyNumberFormat="1" applyFill="1" applyBorder="1" applyAlignment="1">
      <alignment vertical="top" wrapText="1"/>
    </xf>
    <xf numFmtId="9" fontId="0" fillId="17" borderId="1" xfId="1" applyFont="1" applyFill="1" applyBorder="1"/>
    <xf numFmtId="2" fontId="5" fillId="0" borderId="86" xfId="2" applyNumberFormat="1" applyFont="1" applyBorder="1" applyAlignment="1" applyProtection="1">
      <alignment horizontal="left" vertical="center" wrapText="1"/>
      <protection locked="0"/>
    </xf>
    <xf numFmtId="0" fontId="5" fillId="16" borderId="64" xfId="67" applyFont="1" applyFill="1" applyBorder="1" applyAlignment="1" applyProtection="1">
      <alignment horizontal="left"/>
    </xf>
    <xf numFmtId="0" fontId="5" fillId="16" borderId="65" xfId="67" applyFont="1" applyFill="1" applyBorder="1" applyAlignment="1" applyProtection="1">
      <alignment horizontal="left"/>
    </xf>
    <xf numFmtId="0" fontId="5" fillId="16" borderId="70" xfId="67" applyFont="1" applyFill="1" applyBorder="1" applyAlignment="1" applyProtection="1">
      <alignment horizontal="left"/>
    </xf>
    <xf numFmtId="0" fontId="5" fillId="16" borderId="71" xfId="67" applyFont="1" applyFill="1" applyBorder="1" applyAlignment="1" applyProtection="1">
      <alignment horizontal="left"/>
    </xf>
    <xf numFmtId="0" fontId="9" fillId="16" borderId="8" xfId="67" applyFont="1" applyFill="1" applyBorder="1" applyAlignment="1" applyProtection="1">
      <alignment horizontal="center" vertical="center" wrapText="1"/>
    </xf>
    <xf numFmtId="0" fontId="9" fillId="16" borderId="13" xfId="67" applyFont="1" applyFill="1" applyBorder="1" applyAlignment="1" applyProtection="1">
      <alignment horizontal="center" vertical="center" wrapText="1"/>
    </xf>
    <xf numFmtId="0" fontId="9" fillId="16" borderId="20" xfId="67" applyFont="1" applyFill="1" applyBorder="1" applyAlignment="1" applyProtection="1">
      <alignment horizontal="center" vertical="center" wrapText="1"/>
    </xf>
    <xf numFmtId="0" fontId="5" fillId="16" borderId="9" xfId="67" applyFont="1" applyFill="1" applyBorder="1" applyAlignment="1" applyProtection="1">
      <alignment horizontal="center" vertical="center" wrapText="1"/>
    </xf>
    <xf numFmtId="1" fontId="9" fillId="16" borderId="19" xfId="56" applyNumberFormat="1" applyFont="1" applyFill="1" applyBorder="1" applyAlignment="1" applyProtection="1">
      <alignment horizontal="center" vertical="center"/>
    </xf>
    <xf numFmtId="1" fontId="9" fillId="16" borderId="27" xfId="56" applyNumberFormat="1" applyFont="1" applyFill="1" applyBorder="1" applyAlignment="1" applyProtection="1">
      <alignment horizontal="center" vertical="center"/>
    </xf>
    <xf numFmtId="0" fontId="10" fillId="0" borderId="30" xfId="67" applyFont="1" applyFill="1" applyBorder="1" applyAlignment="1" applyProtection="1">
      <alignment horizontal="center" wrapText="1"/>
      <protection locked="0"/>
    </xf>
    <xf numFmtId="1" fontId="9" fillId="16" borderId="57" xfId="56" applyNumberFormat="1" applyFont="1" applyFill="1" applyBorder="1" applyAlignment="1" applyProtection="1">
      <alignment horizontal="center" vertical="center"/>
    </xf>
    <xf numFmtId="0" fontId="71" fillId="17" borderId="1" xfId="0" applyNumberFormat="1" applyFont="1" applyFill="1" applyBorder="1" applyAlignment="1">
      <alignment wrapText="1"/>
    </xf>
    <xf numFmtId="0" fontId="71" fillId="0" borderId="1" xfId="0" applyFont="1" applyBorder="1" applyAlignment="1">
      <alignment wrapText="1"/>
    </xf>
    <xf numFmtId="0" fontId="0" fillId="0" borderId="39" xfId="0" applyFill="1" applyBorder="1"/>
    <xf numFmtId="0" fontId="0" fillId="2" borderId="1" xfId="0" applyFill="1" applyBorder="1"/>
    <xf numFmtId="0" fontId="5" fillId="0" borderId="0" xfId="68" applyFont="1" applyProtection="1"/>
    <xf numFmtId="0" fontId="5" fillId="0" borderId="0" xfId="68" applyFont="1" applyAlignment="1" applyProtection="1">
      <alignment wrapText="1"/>
    </xf>
    <xf numFmtId="0" fontId="6" fillId="16" borderId="4" xfId="68" applyFont="1" applyFill="1" applyBorder="1" applyAlignment="1" applyProtection="1">
      <alignment horizontal="center"/>
    </xf>
    <xf numFmtId="0" fontId="6" fillId="16" borderId="5" xfId="68" applyFont="1" applyFill="1" applyBorder="1" applyAlignment="1" applyProtection="1">
      <alignment horizontal="center"/>
    </xf>
    <xf numFmtId="0" fontId="5" fillId="0" borderId="0" xfId="68" applyFont="1" applyProtection="1">
      <protection locked="0"/>
    </xf>
    <xf numFmtId="0" fontId="7" fillId="16" borderId="4" xfId="68" applyFont="1" applyFill="1" applyBorder="1" applyAlignment="1" applyProtection="1">
      <alignment horizontal="center"/>
    </xf>
    <xf numFmtId="0" fontId="7" fillId="16" borderId="5" xfId="68" applyFont="1" applyFill="1" applyBorder="1" applyAlignment="1" applyProtection="1">
      <alignment horizontal="center"/>
    </xf>
    <xf numFmtId="0" fontId="8" fillId="16" borderId="6" xfId="68" applyFont="1" applyFill="1" applyBorder="1" applyAlignment="1" applyProtection="1">
      <alignment wrapText="1"/>
    </xf>
    <xf numFmtId="49" fontId="56" fillId="17" borderId="1" xfId="68" applyNumberFormat="1" applyFont="1" applyFill="1" applyBorder="1" applyAlignment="1">
      <alignment horizontal="center"/>
    </xf>
    <xf numFmtId="0" fontId="9" fillId="0" borderId="7" xfId="68" applyFont="1" applyFill="1" applyBorder="1" applyAlignment="1" applyProtection="1">
      <alignment horizontal="center" vertical="center" wrapText="1"/>
      <protection locked="0"/>
    </xf>
    <xf numFmtId="0" fontId="9" fillId="16" borderId="7" xfId="68" applyFont="1" applyFill="1" applyBorder="1" applyAlignment="1" applyProtection="1">
      <alignment wrapText="1"/>
    </xf>
    <xf numFmtId="0" fontId="9" fillId="0" borderId="7" xfId="68" applyNumberFormat="1" applyFont="1" applyFill="1" applyBorder="1" applyAlignment="1" applyProtection="1">
      <alignment horizontal="center" vertical="center" wrapText="1"/>
      <protection locked="0"/>
    </xf>
    <xf numFmtId="0" fontId="9" fillId="16" borderId="10" xfId="68" applyFont="1" applyFill="1" applyBorder="1" applyAlignment="1" applyProtection="1">
      <alignment horizontal="center" vertical="center" wrapText="1"/>
    </xf>
    <xf numFmtId="0" fontId="9" fillId="0" borderId="10" xfId="68" applyFont="1" applyFill="1" applyBorder="1" applyAlignment="1" applyProtection="1">
      <alignment horizontal="center" vertical="center" wrapText="1"/>
      <protection locked="0"/>
    </xf>
    <xf numFmtId="0" fontId="9" fillId="16" borderId="11" xfId="68" applyFont="1" applyFill="1" applyBorder="1" applyAlignment="1" applyProtection="1">
      <alignment wrapText="1"/>
    </xf>
    <xf numFmtId="0" fontId="5" fillId="0" borderId="12" xfId="68" applyFont="1" applyFill="1" applyBorder="1" applyAlignment="1" applyProtection="1">
      <alignment horizontal="center" vertical="center" wrapText="1"/>
      <protection locked="0"/>
    </xf>
    <xf numFmtId="0" fontId="9" fillId="16" borderId="12" xfId="68" applyFont="1" applyFill="1" applyBorder="1" applyAlignment="1" applyProtection="1">
      <alignment wrapText="1"/>
    </xf>
    <xf numFmtId="0" fontId="9" fillId="0" borderId="12" xfId="68" applyFont="1" applyFill="1" applyBorder="1" applyAlignment="1" applyProtection="1">
      <alignment horizontal="center" vertical="center" wrapText="1"/>
      <protection locked="0"/>
    </xf>
    <xf numFmtId="0" fontId="9" fillId="16" borderId="16" xfId="68" applyFont="1" applyFill="1" applyBorder="1" applyAlignment="1" applyProtection="1">
      <alignment horizontal="right" wrapText="1"/>
    </xf>
    <xf numFmtId="0" fontId="9" fillId="0" borderId="16" xfId="68" applyFont="1" applyFill="1" applyBorder="1" applyAlignment="1" applyProtection="1">
      <alignment horizontal="center" vertical="center" wrapText="1"/>
      <protection locked="0"/>
    </xf>
    <xf numFmtId="0" fontId="9" fillId="0" borderId="17" xfId="68" applyFont="1" applyBorder="1" applyProtection="1"/>
    <xf numFmtId="0" fontId="9" fillId="0" borderId="0" xfId="68" applyFont="1" applyBorder="1" applyAlignment="1" applyProtection="1">
      <alignment wrapText="1"/>
      <protection locked="0"/>
    </xf>
    <xf numFmtId="0" fontId="9" fillId="0" borderId="0" xfId="68" applyFont="1" applyBorder="1" applyProtection="1">
      <protection locked="0"/>
    </xf>
    <xf numFmtId="2" fontId="9" fillId="0" borderId="0" xfId="68" applyNumberFormat="1" applyFont="1" applyBorder="1" applyProtection="1"/>
    <xf numFmtId="2" fontId="9" fillId="0" borderId="0" xfId="68" applyNumberFormat="1" applyFont="1" applyBorder="1" applyProtection="1">
      <protection locked="0"/>
    </xf>
    <xf numFmtId="0" fontId="9" fillId="16" borderId="20" xfId="68" applyFont="1" applyFill="1" applyBorder="1" applyAlignment="1" applyProtection="1">
      <alignment horizontal="center" vertical="center" wrapText="1"/>
    </xf>
    <xf numFmtId="0" fontId="9" fillId="0" borderId="113" xfId="68" applyFont="1" applyFill="1" applyBorder="1" applyAlignment="1" applyProtection="1">
      <alignment horizontal="center" vertical="center" wrapText="1"/>
      <protection locked="0"/>
    </xf>
    <xf numFmtId="0" fontId="9" fillId="16" borderId="9" xfId="68" applyFont="1" applyFill="1" applyBorder="1" applyAlignment="1" applyProtection="1">
      <alignment horizontal="center" vertical="center" wrapText="1"/>
    </xf>
    <xf numFmtId="0" fontId="5" fillId="0" borderId="1" xfId="68" applyFont="1" applyBorder="1" applyProtection="1">
      <protection locked="0"/>
    </xf>
    <xf numFmtId="0" fontId="9" fillId="0" borderId="1" xfId="68" applyFont="1" applyFill="1" applyBorder="1" applyAlignment="1" applyProtection="1">
      <alignment wrapText="1"/>
      <protection locked="0"/>
    </xf>
    <xf numFmtId="0" fontId="9" fillId="16" borderId="109" xfId="68" applyFont="1" applyFill="1" applyBorder="1" applyAlignment="1" applyProtection="1">
      <alignment horizontal="center"/>
    </xf>
    <xf numFmtId="0" fontId="9" fillId="16" borderId="110" xfId="68" applyFont="1" applyFill="1" applyBorder="1" applyAlignment="1" applyProtection="1">
      <alignment horizontal="center"/>
    </xf>
    <xf numFmtId="0" fontId="9" fillId="16" borderId="119" xfId="68" applyFont="1" applyFill="1" applyBorder="1" applyAlignment="1" applyProtection="1">
      <alignment horizontal="center"/>
    </xf>
    <xf numFmtId="0" fontId="5" fillId="0" borderId="0" xfId="68" applyFont="1" applyBorder="1" applyProtection="1">
      <protection locked="0"/>
    </xf>
    <xf numFmtId="0" fontId="5" fillId="0" borderId="90" xfId="68" applyFont="1" applyBorder="1" applyAlignment="1" applyProtection="1">
      <alignment horizontal="center" vertical="center" wrapText="1"/>
      <protection locked="0"/>
    </xf>
    <xf numFmtId="0" fontId="12" fillId="0" borderId="80" xfId="68" applyFont="1" applyBorder="1" applyAlignment="1">
      <alignment wrapText="1"/>
    </xf>
    <xf numFmtId="0" fontId="12" fillId="0" borderId="90" xfId="68" applyFont="1" applyBorder="1" applyAlignment="1">
      <alignment wrapText="1"/>
    </xf>
    <xf numFmtId="0" fontId="5" fillId="0" borderId="80" xfId="68" applyFont="1" applyBorder="1" applyAlignment="1" applyProtection="1">
      <alignment vertical="center" wrapText="1"/>
      <protection locked="0"/>
    </xf>
    <xf numFmtId="0" fontId="5" fillId="0" borderId="90" xfId="68" applyFont="1" applyBorder="1" applyAlignment="1" applyProtection="1">
      <alignment horizontal="left" vertical="center" wrapText="1"/>
      <protection locked="0"/>
    </xf>
    <xf numFmtId="0" fontId="5" fillId="0" borderId="90" xfId="68" applyFont="1" applyBorder="1" applyAlignment="1" applyProtection="1">
      <alignment vertical="center" wrapText="1"/>
      <protection locked="0"/>
    </xf>
    <xf numFmtId="164" fontId="5" fillId="0" borderId="48" xfId="68" applyNumberFormat="1" applyFont="1" applyBorder="1" applyAlignment="1" applyProtection="1">
      <alignment vertical="center" wrapText="1"/>
      <protection locked="0"/>
    </xf>
    <xf numFmtId="0" fontId="5" fillId="0" borderId="49" xfId="68" applyFont="1" applyBorder="1" applyAlignment="1" applyProtection="1">
      <alignment vertical="center" wrapText="1"/>
      <protection locked="0"/>
    </xf>
    <xf numFmtId="164" fontId="5" fillId="0" borderId="47" xfId="68" applyNumberFormat="1" applyFont="1" applyBorder="1" applyAlignment="1" applyProtection="1">
      <alignment vertical="center" wrapText="1"/>
      <protection locked="0"/>
    </xf>
    <xf numFmtId="0" fontId="5" fillId="0" borderId="46" xfId="68" applyFont="1" applyBorder="1" applyAlignment="1" applyProtection="1">
      <alignment vertical="center" wrapText="1"/>
      <protection locked="0"/>
    </xf>
    <xf numFmtId="164" fontId="5" fillId="0" borderId="109" xfId="68" applyNumberFormat="1" applyFont="1" applyBorder="1" applyAlignment="1" applyProtection="1">
      <alignment vertical="center" wrapText="1"/>
      <protection locked="0"/>
    </xf>
    <xf numFmtId="0" fontId="5" fillId="0" borderId="110" xfId="68" applyFont="1" applyBorder="1" applyAlignment="1" applyProtection="1">
      <alignment vertical="center" wrapText="1"/>
      <protection locked="0"/>
    </xf>
    <xf numFmtId="0" fontId="5" fillId="0" borderId="82" xfId="68" applyFont="1" applyBorder="1" applyAlignment="1" applyProtection="1">
      <alignment horizontal="center"/>
      <protection locked="0"/>
    </xf>
    <xf numFmtId="0" fontId="4" fillId="0" borderId="51" xfId="68" applyFont="1" applyBorder="1"/>
    <xf numFmtId="0" fontId="56" fillId="17" borderId="91" xfId="68" applyNumberFormat="1" applyFont="1" applyFill="1" applyBorder="1" applyAlignment="1">
      <alignment horizontal="center"/>
    </xf>
    <xf numFmtId="2" fontId="19" fillId="18" borderId="49" xfId="68" applyNumberFormat="1" applyFont="1" applyFill="1" applyBorder="1" applyAlignment="1">
      <alignment vertical="center"/>
    </xf>
    <xf numFmtId="166" fontId="72" fillId="17" borderId="83" xfId="68" applyNumberFormat="1" applyFill="1" applyBorder="1"/>
    <xf numFmtId="49" fontId="72" fillId="17" borderId="91" xfId="68" applyNumberFormat="1" applyFill="1" applyBorder="1"/>
    <xf numFmtId="0" fontId="62" fillId="18" borderId="91" xfId="68" applyFont="1" applyFill="1" applyBorder="1" applyAlignment="1">
      <alignment horizontal="center" vertical="center"/>
    </xf>
    <xf numFmtId="0" fontId="19" fillId="18" borderId="49" xfId="68" applyFont="1" applyFill="1" applyBorder="1" applyAlignment="1">
      <alignment vertical="center"/>
    </xf>
    <xf numFmtId="2" fontId="18" fillId="22" borderId="50" xfId="68" applyNumberFormat="1" applyFont="1" applyFill="1" applyBorder="1" applyAlignment="1">
      <alignment horizontal="right"/>
    </xf>
    <xf numFmtId="2" fontId="37" fillId="18" borderId="1" xfId="68" applyNumberFormat="1" applyFont="1" applyFill="1" applyBorder="1" applyAlignment="1">
      <alignment vertical="center"/>
    </xf>
    <xf numFmtId="0" fontId="63" fillId="18" borderId="1" xfId="68" applyFont="1" applyFill="1" applyBorder="1" applyAlignment="1">
      <alignment vertical="center" wrapText="1"/>
    </xf>
    <xf numFmtId="0" fontId="37" fillId="18" borderId="1" xfId="68" applyFont="1" applyFill="1" applyBorder="1" applyAlignment="1">
      <alignment vertical="center"/>
    </xf>
    <xf numFmtId="49" fontId="72" fillId="17" borderId="1" xfId="68" applyNumberFormat="1" applyFill="1" applyBorder="1"/>
    <xf numFmtId="0" fontId="5" fillId="0" borderId="11" xfId="68" applyFont="1" applyBorder="1" applyAlignment="1" applyProtection="1">
      <alignment horizontal="center" vertical="center" wrapText="1"/>
      <protection locked="0"/>
    </xf>
    <xf numFmtId="0" fontId="5" fillId="0" borderId="86" xfId="68" applyFont="1" applyBorder="1" applyAlignment="1" applyProtection="1">
      <alignment horizontal="left" vertical="center" wrapText="1"/>
      <protection locked="0"/>
    </xf>
    <xf numFmtId="0" fontId="5" fillId="0" borderId="11" xfId="68" applyFont="1" applyBorder="1" applyAlignment="1" applyProtection="1">
      <alignment horizontal="left" vertical="center" wrapText="1"/>
      <protection locked="0"/>
    </xf>
    <xf numFmtId="0" fontId="5" fillId="0" borderId="86" xfId="68" applyFont="1" applyBorder="1" applyAlignment="1" applyProtection="1">
      <alignment vertical="center" wrapText="1"/>
      <protection locked="0"/>
    </xf>
    <xf numFmtId="49" fontId="72" fillId="17" borderId="11" xfId="68" applyNumberFormat="1" applyFill="1" applyBorder="1"/>
    <xf numFmtId="4" fontId="5" fillId="0" borderId="52" xfId="68" applyNumberFormat="1" applyFont="1" applyBorder="1" applyAlignment="1" applyProtection="1">
      <alignment horizontal="center" vertical="center" wrapText="1"/>
      <protection locked="0"/>
    </xf>
    <xf numFmtId="0" fontId="9" fillId="0" borderId="16" xfId="68" applyFont="1" applyBorder="1" applyAlignment="1" applyProtection="1">
      <alignment horizontal="center" vertical="center" wrapText="1"/>
      <protection locked="0"/>
    </xf>
    <xf numFmtId="4" fontId="5" fillId="0" borderId="42" xfId="68" applyNumberFormat="1" applyFont="1" applyBorder="1" applyAlignment="1" applyProtection="1">
      <alignment horizontal="center" vertical="center" wrapText="1"/>
      <protection locked="0"/>
    </xf>
    <xf numFmtId="0" fontId="9" fillId="0" borderId="13" xfId="68" applyFont="1" applyBorder="1" applyAlignment="1" applyProtection="1">
      <alignment horizontal="center" vertical="center" wrapText="1"/>
      <protection locked="0"/>
    </xf>
    <xf numFmtId="4" fontId="5" fillId="0" borderId="40" xfId="68" applyNumberFormat="1" applyFont="1" applyBorder="1" applyAlignment="1" applyProtection="1">
      <alignment horizontal="center" vertical="center" wrapText="1"/>
      <protection locked="0"/>
    </xf>
    <xf numFmtId="0" fontId="19" fillId="18" borderId="15" xfId="68" applyFont="1" applyFill="1" applyBorder="1" applyAlignment="1">
      <alignment horizontal="left" vertical="center"/>
    </xf>
    <xf numFmtId="0" fontId="5" fillId="16" borderId="56" xfId="68" applyFont="1" applyFill="1" applyBorder="1" applyAlignment="1" applyProtection="1">
      <alignment horizontal="left"/>
    </xf>
    <xf numFmtId="0" fontId="5" fillId="16" borderId="15" xfId="68" applyFont="1" applyFill="1" applyBorder="1" applyAlignment="1" applyProtection="1">
      <alignment horizontal="left"/>
    </xf>
    <xf numFmtId="0" fontId="5" fillId="16" borderId="15" xfId="68" applyFont="1" applyFill="1" applyBorder="1" applyProtection="1"/>
    <xf numFmtId="0" fontId="5" fillId="0" borderId="0" xfId="68" applyFont="1" applyBorder="1" applyProtection="1"/>
    <xf numFmtId="0" fontId="5" fillId="16" borderId="59" xfId="68" applyFont="1" applyFill="1" applyBorder="1" applyAlignment="1" applyProtection="1">
      <alignment horizontal="left"/>
    </xf>
    <xf numFmtId="0" fontId="5" fillId="16" borderId="59" xfId="68" applyFont="1" applyFill="1" applyBorder="1" applyProtection="1"/>
    <xf numFmtId="164" fontId="5" fillId="0" borderId="0" xfId="68" applyNumberFormat="1" applyFont="1" applyBorder="1" applyProtection="1">
      <protection locked="0"/>
    </xf>
    <xf numFmtId="0" fontId="5" fillId="16" borderId="64" xfId="68" applyFont="1" applyFill="1" applyBorder="1" applyAlignment="1" applyProtection="1">
      <alignment horizontal="left"/>
    </xf>
    <xf numFmtId="0" fontId="5" fillId="16" borderId="65" xfId="68" applyFont="1" applyFill="1" applyBorder="1" applyAlignment="1" applyProtection="1">
      <alignment horizontal="left"/>
    </xf>
    <xf numFmtId="0" fontId="5" fillId="16" borderId="64" xfId="68" applyFont="1" applyFill="1" applyBorder="1" applyAlignment="1" applyProtection="1"/>
    <xf numFmtId="0" fontId="5" fillId="16" borderId="65" xfId="68" applyFont="1" applyFill="1" applyBorder="1" applyAlignment="1" applyProtection="1"/>
    <xf numFmtId="0" fontId="5" fillId="16" borderId="69" xfId="68" applyFont="1" applyFill="1" applyBorder="1" applyAlignment="1" applyProtection="1"/>
    <xf numFmtId="10" fontId="9" fillId="0" borderId="66" xfId="68" applyNumberFormat="1" applyFont="1" applyFill="1" applyBorder="1" applyAlignment="1" applyProtection="1">
      <alignment horizontal="right"/>
      <protection locked="0"/>
    </xf>
    <xf numFmtId="0" fontId="5" fillId="16" borderId="65" xfId="68" applyFont="1" applyFill="1" applyBorder="1" applyProtection="1"/>
    <xf numFmtId="10" fontId="5" fillId="16" borderId="69" xfId="68" applyNumberFormat="1" applyFont="1" applyFill="1" applyBorder="1" applyProtection="1"/>
    <xf numFmtId="9" fontId="5" fillId="16" borderId="65" xfId="68" applyNumberFormat="1" applyFont="1" applyFill="1" applyBorder="1" applyProtection="1"/>
    <xf numFmtId="9" fontId="5" fillId="16" borderId="69" xfId="68" applyNumberFormat="1" applyFont="1" applyFill="1" applyBorder="1" applyProtection="1"/>
    <xf numFmtId="10" fontId="5" fillId="16" borderId="65" xfId="68" applyNumberFormat="1" applyFont="1" applyFill="1" applyBorder="1" applyProtection="1"/>
    <xf numFmtId="0" fontId="5" fillId="16" borderId="70" xfId="68" applyFont="1" applyFill="1" applyBorder="1" applyAlignment="1" applyProtection="1">
      <alignment horizontal="left"/>
    </xf>
    <xf numFmtId="0" fontId="5" fillId="16" borderId="71" xfId="68" applyFont="1" applyFill="1" applyBorder="1" applyAlignment="1" applyProtection="1">
      <alignment horizontal="left"/>
    </xf>
    <xf numFmtId="0" fontId="5" fillId="16" borderId="71" xfId="68" applyFont="1" applyFill="1" applyBorder="1" applyProtection="1"/>
    <xf numFmtId="10" fontId="5" fillId="16" borderId="71" xfId="68" applyNumberFormat="1" applyFont="1" applyFill="1" applyBorder="1" applyProtection="1"/>
    <xf numFmtId="9" fontId="5" fillId="16" borderId="72" xfId="68" applyNumberFormat="1" applyFont="1" applyFill="1" applyBorder="1" applyProtection="1"/>
    <xf numFmtId="0" fontId="9" fillId="16" borderId="3" xfId="68" applyFont="1" applyFill="1" applyBorder="1" applyAlignment="1" applyProtection="1"/>
    <xf numFmtId="0" fontId="9" fillId="16" borderId="4" xfId="68" applyFont="1" applyFill="1" applyBorder="1" applyAlignment="1" applyProtection="1"/>
    <xf numFmtId="164" fontId="5" fillId="16" borderId="76" xfId="68" applyNumberFormat="1" applyFont="1" applyFill="1" applyBorder="1" applyProtection="1"/>
    <xf numFmtId="164" fontId="5" fillId="16" borderId="77" xfId="68" applyNumberFormat="1" applyFont="1" applyFill="1" applyBorder="1" applyProtection="1"/>
    <xf numFmtId="0" fontId="9" fillId="0" borderId="18" xfId="68" applyFont="1" applyFill="1" applyBorder="1" applyAlignment="1" applyProtection="1"/>
    <xf numFmtId="0" fontId="9" fillId="0" borderId="78" xfId="68" applyFont="1" applyFill="1" applyBorder="1" applyAlignment="1" applyProtection="1"/>
    <xf numFmtId="164" fontId="5" fillId="0" borderId="3" xfId="68" applyNumberFormat="1" applyFont="1" applyFill="1" applyBorder="1" applyProtection="1">
      <protection locked="0"/>
    </xf>
    <xf numFmtId="164" fontId="5" fillId="0" borderId="5" xfId="68" applyNumberFormat="1" applyFont="1" applyFill="1" applyBorder="1" applyProtection="1">
      <protection locked="0"/>
    </xf>
    <xf numFmtId="0" fontId="5" fillId="0" borderId="0" xfId="68" applyFont="1" applyFill="1" applyProtection="1">
      <protection locked="0"/>
    </xf>
    <xf numFmtId="164" fontId="9" fillId="16" borderId="77" xfId="68" applyNumberFormat="1" applyFont="1" applyFill="1" applyBorder="1" applyProtection="1"/>
    <xf numFmtId="0" fontId="5" fillId="0" borderId="3" xfId="68" applyFont="1" applyBorder="1" applyProtection="1"/>
    <xf numFmtId="0" fontId="5" fillId="0" borderId="4" xfId="68" applyFont="1" applyBorder="1" applyAlignment="1" applyProtection="1">
      <alignment wrapText="1"/>
    </xf>
    <xf numFmtId="0" fontId="5" fillId="0" borderId="4" xfId="68" applyFont="1" applyBorder="1" applyProtection="1"/>
    <xf numFmtId="0" fontId="5" fillId="0" borderId="18" xfId="68" applyFont="1" applyBorder="1" applyProtection="1">
      <protection locked="0"/>
    </xf>
    <xf numFmtId="0" fontId="5" fillId="0" borderId="20" xfId="68" applyFont="1" applyFill="1" applyBorder="1" applyProtection="1">
      <protection locked="0"/>
    </xf>
    <xf numFmtId="0" fontId="5" fillId="16" borderId="79" xfId="68" applyFont="1" applyFill="1" applyBorder="1" applyProtection="1"/>
    <xf numFmtId="0" fontId="5" fillId="16" borderId="79" xfId="68" applyFont="1" applyFill="1" applyBorder="1" applyAlignment="1" applyProtection="1">
      <alignment wrapText="1"/>
    </xf>
    <xf numFmtId="0" fontId="5" fillId="16" borderId="80" xfId="68" applyFont="1" applyFill="1" applyBorder="1" applyAlignment="1" applyProtection="1">
      <alignment wrapText="1"/>
    </xf>
    <xf numFmtId="0" fontId="5" fillId="16" borderId="80" xfId="68" applyFont="1" applyFill="1" applyBorder="1" applyProtection="1"/>
    <xf numFmtId="0" fontId="5" fillId="0" borderId="48" xfId="68" applyFont="1" applyBorder="1" applyAlignment="1">
      <alignment wrapText="1"/>
    </xf>
    <xf numFmtId="0" fontId="5" fillId="0" borderId="1" xfId="68" applyFont="1" applyBorder="1" applyAlignment="1">
      <alignment wrapText="1"/>
    </xf>
    <xf numFmtId="0" fontId="5" fillId="0" borderId="49" xfId="68" applyFont="1" applyBorder="1" applyAlignment="1">
      <alignment wrapText="1"/>
    </xf>
    <xf numFmtId="0" fontId="5" fillId="16" borderId="81" xfId="68" applyFont="1" applyFill="1" applyBorder="1" applyProtection="1"/>
    <xf numFmtId="0" fontId="5" fillId="16" borderId="82" xfId="68" applyFont="1" applyFill="1" applyBorder="1" applyAlignment="1" applyProtection="1"/>
    <xf numFmtId="0" fontId="5" fillId="16" borderId="83" xfId="68" applyFont="1" applyFill="1" applyBorder="1" applyAlignment="1" applyProtection="1"/>
    <xf numFmtId="0" fontId="5" fillId="16" borderId="83" xfId="68" applyFont="1" applyFill="1" applyBorder="1" applyProtection="1"/>
    <xf numFmtId="0" fontId="9" fillId="0" borderId="48" xfId="68" applyFont="1" applyFill="1" applyBorder="1" applyAlignment="1" applyProtection="1">
      <alignment wrapText="1"/>
      <protection locked="0"/>
    </xf>
    <xf numFmtId="0" fontId="9" fillId="0" borderId="91" xfId="68" applyFont="1" applyFill="1" applyBorder="1" applyAlignment="1" applyProtection="1">
      <alignment wrapText="1"/>
      <protection locked="0"/>
    </xf>
    <xf numFmtId="0" fontId="5" fillId="16" borderId="19" xfId="68" applyFont="1" applyFill="1" applyBorder="1" applyProtection="1"/>
    <xf numFmtId="0" fontId="5" fillId="16" borderId="84" xfId="68" applyFont="1" applyFill="1" applyBorder="1" applyAlignment="1" applyProtection="1">
      <alignment wrapText="1"/>
    </xf>
    <xf numFmtId="0" fontId="5" fillId="16" borderId="84" xfId="68" applyFont="1" applyFill="1" applyBorder="1" applyProtection="1"/>
    <xf numFmtId="0" fontId="5" fillId="0" borderId="48" xfId="68" applyFont="1" applyFill="1" applyBorder="1" applyAlignment="1" applyProtection="1">
      <alignment horizontal="left" wrapText="1"/>
      <protection locked="0"/>
    </xf>
    <xf numFmtId="0" fontId="5" fillId="0" borderId="91" xfId="68" applyFont="1" applyFill="1" applyBorder="1" applyAlignment="1" applyProtection="1">
      <alignment horizontal="left" wrapText="1"/>
      <protection locked="0"/>
    </xf>
    <xf numFmtId="0" fontId="5" fillId="16" borderId="85" xfId="68" applyFont="1" applyFill="1" applyBorder="1" applyProtection="1"/>
    <xf numFmtId="0" fontId="9" fillId="0" borderId="48" xfId="68" applyFont="1" applyFill="1" applyBorder="1" applyAlignment="1" applyProtection="1">
      <alignment horizontal="left" wrapText="1"/>
      <protection locked="0"/>
    </xf>
    <xf numFmtId="0" fontId="9" fillId="0" borderId="91" xfId="68" applyFont="1" applyFill="1" applyBorder="1" applyAlignment="1" applyProtection="1">
      <alignment horizontal="left" wrapText="1"/>
      <protection locked="0"/>
    </xf>
    <xf numFmtId="9" fontId="5" fillId="0" borderId="48" xfId="68" applyNumberFormat="1" applyFont="1" applyFill="1" applyBorder="1" applyAlignment="1" applyProtection="1">
      <alignment horizontal="left" wrapText="1"/>
      <protection locked="0"/>
    </xf>
    <xf numFmtId="9" fontId="9" fillId="0" borderId="48" xfId="68" applyNumberFormat="1" applyFont="1" applyFill="1" applyBorder="1" applyAlignment="1" applyProtection="1">
      <alignment horizontal="left" wrapText="1"/>
      <protection locked="0"/>
    </xf>
    <xf numFmtId="9" fontId="9" fillId="0" borderId="91" xfId="68" applyNumberFormat="1" applyFont="1" applyFill="1" applyBorder="1" applyAlignment="1" applyProtection="1">
      <alignment horizontal="left" wrapText="1"/>
      <protection locked="0"/>
    </xf>
    <xf numFmtId="0" fontId="5" fillId="16" borderId="11" xfId="68" applyFont="1" applyFill="1" applyBorder="1" applyProtection="1"/>
    <xf numFmtId="0" fontId="5" fillId="16" borderId="86" xfId="68" applyFont="1" applyFill="1" applyBorder="1" applyAlignment="1" applyProtection="1">
      <alignment wrapText="1"/>
    </xf>
    <xf numFmtId="0" fontId="5" fillId="16" borderId="86" xfId="68" applyFont="1" applyFill="1" applyBorder="1" applyProtection="1"/>
    <xf numFmtId="0" fontId="5" fillId="0" borderId="52" xfId="68" applyFont="1" applyFill="1" applyBorder="1" applyAlignment="1" applyProtection="1">
      <alignment wrapText="1"/>
      <protection locked="0"/>
    </xf>
    <xf numFmtId="0" fontId="5" fillId="0" borderId="11" xfId="68" applyFont="1" applyFill="1" applyBorder="1" applyAlignment="1" applyProtection="1">
      <alignment wrapText="1"/>
      <protection locked="0"/>
    </xf>
    <xf numFmtId="0" fontId="9" fillId="0" borderId="78" xfId="68" applyFont="1" applyFill="1" applyBorder="1" applyAlignment="1" applyProtection="1">
      <alignment horizontal="left" vertical="top"/>
      <protection locked="0"/>
    </xf>
    <xf numFmtId="0" fontId="9" fillId="0" borderId="20" xfId="68" applyFont="1" applyFill="1" applyBorder="1" applyAlignment="1" applyProtection="1">
      <alignment horizontal="left" vertical="top"/>
      <protection locked="0"/>
    </xf>
    <xf numFmtId="0" fontId="9" fillId="0" borderId="0" xfId="68" applyFont="1" applyFill="1" applyBorder="1" applyAlignment="1" applyProtection="1">
      <alignment horizontal="left" vertical="top"/>
      <protection locked="0"/>
    </xf>
    <xf numFmtId="0" fontId="9" fillId="0" borderId="9" xfId="68" applyFont="1" applyFill="1" applyBorder="1" applyAlignment="1" applyProtection="1">
      <alignment horizontal="left" vertical="top"/>
      <protection locked="0"/>
    </xf>
    <xf numFmtId="0" fontId="5" fillId="0" borderId="78" xfId="68" applyFont="1" applyBorder="1" applyAlignment="1" applyProtection="1">
      <alignment wrapText="1"/>
      <protection locked="0"/>
    </xf>
    <xf numFmtId="0" fontId="5" fillId="0" borderId="78" xfId="68" applyFont="1" applyBorder="1" applyProtection="1">
      <protection locked="0"/>
    </xf>
    <xf numFmtId="0" fontId="5" fillId="0" borderId="20" xfId="68" applyFont="1" applyBorder="1" applyProtection="1">
      <protection locked="0"/>
    </xf>
    <xf numFmtId="0" fontId="5" fillId="0" borderId="17" xfId="68" applyFont="1" applyBorder="1" applyProtection="1">
      <protection locked="0"/>
    </xf>
    <xf numFmtId="0" fontId="5" fillId="0" borderId="0" xfId="68" applyFont="1" applyBorder="1" applyAlignment="1" applyProtection="1">
      <alignment wrapText="1"/>
      <protection locked="0"/>
    </xf>
    <xf numFmtId="0" fontId="5" fillId="0" borderId="9" xfId="68" applyFont="1" applyBorder="1" applyProtection="1">
      <protection locked="0"/>
    </xf>
    <xf numFmtId="0" fontId="9" fillId="0" borderId="17" xfId="68" applyFont="1" applyBorder="1" applyProtection="1">
      <protection locked="0"/>
    </xf>
    <xf numFmtId="0" fontId="5" fillId="0" borderId="56" xfId="68" applyFont="1" applyBorder="1" applyProtection="1">
      <protection locked="0"/>
    </xf>
    <xf numFmtId="0" fontId="5" fillId="0" borderId="14" xfId="68" applyFont="1" applyBorder="1" applyAlignment="1" applyProtection="1">
      <alignment wrapText="1"/>
      <protection locked="0"/>
    </xf>
    <xf numFmtId="0" fontId="5" fillId="0" borderId="14" xfId="68" applyFont="1" applyBorder="1" applyProtection="1">
      <protection locked="0"/>
    </xf>
    <xf numFmtId="0" fontId="5" fillId="0" borderId="15" xfId="68" applyFont="1" applyBorder="1" applyProtection="1">
      <protection locked="0"/>
    </xf>
    <xf numFmtId="49" fontId="72" fillId="17" borderId="0" xfId="68" applyNumberFormat="1" applyFill="1" applyBorder="1"/>
    <xf numFmtId="166" fontId="72" fillId="17" borderId="0" xfId="68" applyNumberFormat="1" applyFill="1" applyBorder="1"/>
    <xf numFmtId="0" fontId="19" fillId="18" borderId="0" xfId="68" applyFont="1" applyFill="1" applyBorder="1" applyAlignment="1">
      <alignment vertical="center"/>
    </xf>
    <xf numFmtId="0" fontId="37" fillId="18" borderId="0" xfId="68" applyFont="1" applyFill="1" applyBorder="1" applyAlignment="1">
      <alignment vertical="center"/>
    </xf>
    <xf numFmtId="0" fontId="72" fillId="17" borderId="0" xfId="68" applyNumberFormat="1" applyFill="1" applyBorder="1"/>
    <xf numFmtId="49" fontId="72" fillId="0" borderId="0" xfId="68" applyNumberFormat="1" applyFill="1" applyBorder="1"/>
    <xf numFmtId="166" fontId="72" fillId="0" borderId="0" xfId="68" applyNumberFormat="1" applyFill="1" applyBorder="1"/>
    <xf numFmtId="0" fontId="5" fillId="0" borderId="0" xfId="68" applyFont="1" applyAlignment="1" applyProtection="1">
      <alignment wrapText="1"/>
      <protection locked="0"/>
    </xf>
    <xf numFmtId="0" fontId="73" fillId="18" borderId="1" xfId="0" applyFont="1" applyFill="1" applyBorder="1" applyAlignment="1">
      <alignment horizontal="right" vertical="center"/>
    </xf>
    <xf numFmtId="0" fontId="73" fillId="18" borderId="1" xfId="0" applyFont="1" applyFill="1" applyBorder="1" applyAlignment="1">
      <alignment vertical="center"/>
    </xf>
    <xf numFmtId="165" fontId="9" fillId="0" borderId="8" xfId="56" applyNumberFormat="1" applyFont="1" applyFill="1" applyBorder="1" applyAlignment="1" applyProtection="1">
      <alignment horizontal="center" vertical="center" wrapText="1"/>
      <protection locked="0"/>
    </xf>
    <xf numFmtId="0" fontId="9" fillId="0" borderId="77" xfId="67" applyFont="1" applyFill="1" applyBorder="1" applyAlignment="1" applyProtection="1">
      <alignment horizontal="center" vertical="center" wrapText="1"/>
      <protection locked="0"/>
    </xf>
    <xf numFmtId="0" fontId="9" fillId="0" borderId="112" xfId="67" applyFont="1" applyFill="1" applyBorder="1" applyAlignment="1" applyProtection="1">
      <alignment horizontal="center" vertical="center" wrapText="1"/>
      <protection locked="0"/>
    </xf>
    <xf numFmtId="0" fontId="10" fillId="0" borderId="0" xfId="67" applyFont="1" applyFill="1" applyBorder="1" applyAlignment="1" applyProtection="1">
      <alignment horizontal="center" wrapText="1"/>
      <protection locked="0"/>
    </xf>
    <xf numFmtId="0" fontId="9" fillId="16" borderId="15" xfId="67" applyFont="1" applyFill="1" applyBorder="1" applyAlignment="1" applyProtection="1">
      <alignment horizontal="center" vertical="center" wrapText="1"/>
    </xf>
    <xf numFmtId="0" fontId="9" fillId="16" borderId="76" xfId="67" applyFont="1" applyFill="1" applyBorder="1" applyAlignment="1" applyProtection="1">
      <alignment horizontal="center"/>
    </xf>
    <xf numFmtId="0" fontId="9" fillId="16" borderId="112" xfId="67" applyFont="1" applyFill="1" applyBorder="1" applyAlignment="1" applyProtection="1">
      <alignment horizontal="center"/>
    </xf>
    <xf numFmtId="0" fontId="9" fillId="16" borderId="122" xfId="67" applyFont="1" applyFill="1" applyBorder="1" applyAlignment="1" applyProtection="1">
      <alignment horizontal="center"/>
    </xf>
    <xf numFmtId="0" fontId="9" fillId="16" borderId="111" xfId="67" applyFont="1" applyFill="1" applyBorder="1" applyAlignment="1" applyProtection="1">
      <alignment horizontal="center"/>
    </xf>
    <xf numFmtId="0" fontId="5" fillId="0" borderId="1" xfId="67" applyFont="1" applyBorder="1" applyAlignment="1" applyProtection="1">
      <alignment horizontal="center" vertical="center" wrapText="1"/>
      <protection locked="0"/>
    </xf>
    <xf numFmtId="49" fontId="74" fillId="17" borderId="1" xfId="67" applyNumberFormat="1" applyFont="1" applyFill="1" applyBorder="1"/>
    <xf numFmtId="0" fontId="50" fillId="17" borderId="1" xfId="67" applyNumberFormat="1" applyFont="1" applyFill="1" applyBorder="1"/>
    <xf numFmtId="49" fontId="4" fillId="17" borderId="1" xfId="67" applyNumberFormat="1" applyFont="1" applyFill="1" applyBorder="1"/>
    <xf numFmtId="166" fontId="74" fillId="17" borderId="1" xfId="67" applyNumberFormat="1" applyFont="1" applyFill="1" applyBorder="1"/>
    <xf numFmtId="164" fontId="49" fillId="0" borderId="95" xfId="3" applyFont="1" applyBorder="1" applyAlignment="1">
      <alignment horizontal="right"/>
    </xf>
    <xf numFmtId="164" fontId="5" fillId="0" borderId="95" xfId="67" applyNumberFormat="1" applyFont="1" applyBorder="1" applyProtection="1">
      <protection locked="0"/>
    </xf>
    <xf numFmtId="0" fontId="4" fillId="0" borderId="95" xfId="67" applyBorder="1"/>
    <xf numFmtId="0" fontId="5" fillId="0" borderId="95" xfId="67" applyFont="1" applyBorder="1" applyAlignment="1" applyProtection="1">
      <alignment vertical="center" wrapText="1"/>
      <protection locked="0"/>
    </xf>
    <xf numFmtId="164" fontId="31" fillId="0" borderId="95" xfId="3" applyFont="1" applyBorder="1" applyAlignment="1">
      <alignment horizontal="center"/>
    </xf>
    <xf numFmtId="164" fontId="49" fillId="0" borderId="1" xfId="3" applyFont="1" applyBorder="1" applyAlignment="1">
      <alignment horizontal="right"/>
    </xf>
    <xf numFmtId="0" fontId="4" fillId="0" borderId="1" xfId="67" applyBorder="1"/>
    <xf numFmtId="164" fontId="22" fillId="0" borderId="1" xfId="3" applyFont="1" applyBorder="1" applyAlignment="1">
      <alignment horizontal="center"/>
    </xf>
    <xf numFmtId="0" fontId="5" fillId="16" borderId="3" xfId="67" applyFont="1" applyFill="1" applyBorder="1" applyAlignment="1" applyProtection="1">
      <alignment horizontal="left"/>
    </xf>
    <xf numFmtId="0" fontId="5" fillId="16" borderId="5" xfId="67" applyFont="1" applyFill="1" applyBorder="1" applyAlignment="1" applyProtection="1">
      <alignment horizontal="left"/>
    </xf>
    <xf numFmtId="0" fontId="5" fillId="16" borderId="5" xfId="67" applyFont="1" applyFill="1" applyBorder="1" applyProtection="1"/>
    <xf numFmtId="1" fontId="9" fillId="16" borderId="5" xfId="56" applyNumberFormat="1" applyFont="1" applyFill="1" applyBorder="1" applyAlignment="1" applyProtection="1">
      <alignment horizontal="center"/>
    </xf>
    <xf numFmtId="164" fontId="5" fillId="0" borderId="4" xfId="67" applyNumberFormat="1" applyFont="1" applyFill="1" applyBorder="1" applyProtection="1">
      <protection locked="0"/>
    </xf>
    <xf numFmtId="9" fontId="5" fillId="0" borderId="1" xfId="67" applyNumberFormat="1" applyFont="1" applyFill="1" applyBorder="1" applyAlignment="1" applyProtection="1">
      <alignment horizontal="left" wrapText="1"/>
      <protection locked="0"/>
    </xf>
    <xf numFmtId="9" fontId="9" fillId="0" borderId="1" xfId="67" applyNumberFormat="1" applyFont="1" applyFill="1" applyBorder="1" applyAlignment="1" applyProtection="1">
      <alignment horizontal="left" wrapText="1"/>
      <protection locked="0"/>
    </xf>
    <xf numFmtId="0" fontId="5" fillId="0" borderId="89" xfId="67" applyFont="1" applyFill="1" applyBorder="1" applyAlignment="1" applyProtection="1">
      <alignment wrapText="1"/>
      <protection locked="0"/>
    </xf>
    <xf numFmtId="49" fontId="4" fillId="0" borderId="1" xfId="67" applyNumberFormat="1" applyFill="1" applyBorder="1"/>
    <xf numFmtId="166" fontId="4" fillId="0" borderId="1" xfId="67" applyNumberFormat="1" applyFill="1" applyBorder="1"/>
    <xf numFmtId="164" fontId="22" fillId="0" borderId="1" xfId="3" applyFont="1" applyBorder="1" applyAlignment="1">
      <alignment horizontal="right"/>
    </xf>
    <xf numFmtId="0" fontId="4" fillId="0" borderId="1" xfId="67" applyNumberFormat="1" applyFill="1" applyBorder="1"/>
    <xf numFmtId="0" fontId="4" fillId="0" borderId="1" xfId="67" applyNumberFormat="1" applyFill="1" applyBorder="1" applyAlignment="1">
      <alignment horizontal="left"/>
    </xf>
    <xf numFmtId="164" fontId="75" fillId="0" borderId="1" xfId="67" applyNumberFormat="1" applyFont="1" applyFill="1" applyBorder="1" applyAlignment="1">
      <alignment horizontal="center" vertical="center"/>
    </xf>
    <xf numFmtId="0" fontId="17" fillId="0" borderId="79" xfId="67" applyFont="1" applyBorder="1" applyAlignment="1" applyProtection="1">
      <alignment vertical="center" wrapText="1"/>
      <protection locked="0"/>
    </xf>
    <xf numFmtId="0" fontId="5" fillId="0" borderId="90" xfId="67" applyFont="1" applyBorder="1" applyAlignment="1" applyProtection="1">
      <alignment vertical="center" wrapText="1"/>
      <protection locked="0"/>
    </xf>
    <xf numFmtId="0" fontId="22" fillId="0" borderId="82" xfId="67" applyFont="1" applyBorder="1" applyAlignment="1" applyProtection="1">
      <alignment wrapText="1"/>
      <protection locked="0"/>
    </xf>
    <xf numFmtId="2" fontId="31" fillId="17" borderId="91" xfId="67" applyNumberFormat="1" applyFont="1" applyFill="1" applyBorder="1"/>
    <xf numFmtId="0" fontId="9" fillId="0" borderId="82" xfId="67" applyFont="1" applyBorder="1" applyAlignment="1" applyProtection="1">
      <alignment wrapText="1"/>
      <protection locked="0"/>
    </xf>
    <xf numFmtId="167" fontId="9" fillId="0" borderId="91" xfId="67" applyNumberFormat="1" applyFont="1" applyBorder="1" applyProtection="1">
      <protection locked="0"/>
    </xf>
    <xf numFmtId="164" fontId="9" fillId="0" borderId="91" xfId="67" applyNumberFormat="1" applyFont="1" applyBorder="1" applyProtection="1">
      <protection locked="0"/>
    </xf>
    <xf numFmtId="0" fontId="9" fillId="0" borderId="98" xfId="67" applyFont="1" applyBorder="1" applyAlignment="1" applyProtection="1">
      <alignment wrapText="1"/>
      <protection locked="0"/>
    </xf>
    <xf numFmtId="164" fontId="9" fillId="0" borderId="11" xfId="67" applyNumberFormat="1" applyFont="1" applyBorder="1" applyProtection="1">
      <protection locked="0"/>
    </xf>
    <xf numFmtId="0" fontId="17" fillId="0" borderId="90" xfId="67" applyFont="1" applyBorder="1" applyAlignment="1" applyProtection="1">
      <alignment vertical="center" wrapText="1"/>
      <protection locked="0"/>
    </xf>
    <xf numFmtId="0" fontId="22" fillId="0" borderId="91" xfId="67" applyFont="1" applyBorder="1" applyAlignment="1" applyProtection="1">
      <alignment wrapText="1"/>
      <protection locked="0"/>
    </xf>
    <xf numFmtId="166" fontId="50" fillId="17" borderId="1" xfId="67" applyNumberFormat="1" applyFont="1" applyFill="1" applyBorder="1"/>
    <xf numFmtId="164" fontId="49" fillId="0" borderId="1" xfId="3" applyFont="1" applyBorder="1" applyAlignment="1">
      <alignment horizontal="center"/>
    </xf>
    <xf numFmtId="0" fontId="5" fillId="16" borderId="5" xfId="67" applyFont="1" applyFill="1" applyBorder="1" applyAlignment="1" applyProtection="1">
      <alignment wrapText="1"/>
    </xf>
    <xf numFmtId="1" fontId="9" fillId="16" borderId="78" xfId="56" applyNumberFormat="1" applyFont="1" applyFill="1" applyBorder="1" applyAlignment="1" applyProtection="1">
      <alignment horizontal="center" vertical="center"/>
    </xf>
    <xf numFmtId="1" fontId="9" fillId="16" borderId="0" xfId="56" applyNumberFormat="1" applyFont="1" applyFill="1" applyBorder="1" applyAlignment="1" applyProtection="1">
      <alignment horizontal="center" vertical="center"/>
    </xf>
    <xf numFmtId="1" fontId="9" fillId="16" borderId="56" xfId="56" applyNumberFormat="1" applyFont="1" applyFill="1" applyBorder="1" applyAlignment="1" applyProtection="1">
      <alignment horizontal="center" vertical="center"/>
    </xf>
    <xf numFmtId="166" fontId="74" fillId="17" borderId="95" xfId="67" applyNumberFormat="1" applyFont="1" applyFill="1" applyBorder="1"/>
    <xf numFmtId="1" fontId="5" fillId="16" borderId="132" xfId="56" applyNumberFormat="1" applyFont="1" applyFill="1" applyBorder="1" applyAlignment="1" applyProtection="1">
      <alignment horizontal="right"/>
    </xf>
    <xf numFmtId="0" fontId="5" fillId="16" borderId="133" xfId="67" applyFont="1" applyFill="1" applyBorder="1" applyAlignment="1" applyProtection="1"/>
    <xf numFmtId="10" fontId="5" fillId="16" borderId="133" xfId="67" applyNumberFormat="1" applyFont="1" applyFill="1" applyBorder="1" applyProtection="1"/>
    <xf numFmtId="9" fontId="5" fillId="16" borderId="133" xfId="67" applyNumberFormat="1" applyFont="1" applyFill="1" applyBorder="1" applyProtection="1"/>
    <xf numFmtId="9" fontId="5" fillId="16" borderId="134" xfId="67" applyNumberFormat="1" applyFont="1" applyFill="1" applyBorder="1" applyProtection="1"/>
    <xf numFmtId="1" fontId="5" fillId="16" borderId="134" xfId="56" applyNumberFormat="1" applyFont="1" applyFill="1" applyBorder="1" applyAlignment="1" applyProtection="1">
      <alignment horizontal="right"/>
    </xf>
    <xf numFmtId="1" fontId="5" fillId="0" borderId="0" xfId="56" applyNumberFormat="1" applyFont="1" applyBorder="1" applyAlignment="1" applyProtection="1">
      <alignment horizontal="right"/>
    </xf>
    <xf numFmtId="1" fontId="5" fillId="16" borderId="124" xfId="56" applyNumberFormat="1" applyFont="1" applyFill="1" applyBorder="1" applyAlignment="1" applyProtection="1">
      <alignment horizontal="right"/>
    </xf>
    <xf numFmtId="0" fontId="9" fillId="16" borderId="19" xfId="67" applyFont="1" applyFill="1" applyBorder="1" applyAlignment="1" applyProtection="1">
      <alignment horizontal="center" vertical="center" wrapText="1"/>
    </xf>
    <xf numFmtId="0" fontId="9" fillId="16" borderId="27" xfId="67" applyFont="1" applyFill="1" applyBorder="1" applyAlignment="1" applyProtection="1">
      <alignment horizontal="center" vertical="center" wrapText="1"/>
    </xf>
    <xf numFmtId="0" fontId="9" fillId="16" borderId="57" xfId="67" applyFont="1" applyFill="1" applyBorder="1" applyAlignment="1" applyProtection="1">
      <alignment horizontal="center" vertical="center" wrapText="1"/>
    </xf>
    <xf numFmtId="0" fontId="9" fillId="16" borderId="4" xfId="67" applyFont="1" applyFill="1" applyBorder="1" applyAlignment="1" applyProtection="1">
      <alignment horizontal="center"/>
    </xf>
    <xf numFmtId="0" fontId="5" fillId="16" borderId="59" xfId="67" applyFont="1" applyFill="1" applyBorder="1" applyAlignment="1" applyProtection="1">
      <alignment horizontal="left"/>
    </xf>
    <xf numFmtId="0" fontId="5" fillId="16" borderId="64" xfId="67" applyFont="1" applyFill="1" applyBorder="1" applyAlignment="1" applyProtection="1">
      <alignment horizontal="left"/>
    </xf>
    <xf numFmtId="0" fontId="5" fillId="16" borderId="65" xfId="67" applyFont="1" applyFill="1" applyBorder="1" applyAlignment="1" applyProtection="1">
      <alignment horizontal="left"/>
    </xf>
    <xf numFmtId="0" fontId="5" fillId="16" borderId="70" xfId="67" applyFont="1" applyFill="1" applyBorder="1" applyAlignment="1" applyProtection="1">
      <alignment horizontal="left"/>
    </xf>
    <xf numFmtId="0" fontId="5" fillId="16" borderId="71" xfId="67" applyFont="1" applyFill="1" applyBorder="1" applyAlignment="1" applyProtection="1">
      <alignment horizontal="left"/>
    </xf>
    <xf numFmtId="0" fontId="9" fillId="0" borderId="0" xfId="67" applyFont="1" applyFill="1" applyBorder="1" applyAlignment="1" applyProtection="1">
      <alignment vertical="top"/>
      <protection locked="0"/>
    </xf>
    <xf numFmtId="0" fontId="9" fillId="0" borderId="15" xfId="67" applyFont="1" applyFill="1" applyBorder="1" applyAlignment="1" applyProtection="1">
      <alignment horizontal="center" vertical="center" wrapText="1"/>
      <protection locked="0"/>
    </xf>
    <xf numFmtId="0" fontId="5" fillId="16" borderId="64" xfId="67" applyFont="1" applyFill="1" applyBorder="1" applyAlignment="1" applyProtection="1">
      <alignment horizontal="left"/>
    </xf>
    <xf numFmtId="0" fontId="5" fillId="16" borderId="65" xfId="67" applyFont="1" applyFill="1" applyBorder="1" applyAlignment="1" applyProtection="1">
      <alignment horizontal="left"/>
    </xf>
    <xf numFmtId="0" fontId="5" fillId="16" borderId="70" xfId="67" applyFont="1" applyFill="1" applyBorder="1" applyAlignment="1" applyProtection="1">
      <alignment horizontal="left"/>
    </xf>
    <xf numFmtId="0" fontId="5" fillId="16" borderId="71" xfId="67" applyFont="1" applyFill="1" applyBorder="1" applyAlignment="1" applyProtection="1">
      <alignment horizontal="left"/>
    </xf>
    <xf numFmtId="0" fontId="9" fillId="0" borderId="0" xfId="67" applyFont="1" applyFill="1" applyBorder="1" applyAlignment="1" applyProtection="1">
      <alignment vertical="top"/>
      <protection locked="0"/>
    </xf>
    <xf numFmtId="0" fontId="9" fillId="16" borderId="4" xfId="67" applyFont="1" applyFill="1" applyBorder="1" applyAlignment="1" applyProtection="1">
      <alignment horizontal="center"/>
    </xf>
    <xf numFmtId="0" fontId="9" fillId="16" borderId="20" xfId="67" applyFont="1" applyFill="1" applyBorder="1" applyAlignment="1" applyProtection="1">
      <alignment horizontal="center" vertical="center" wrapText="1"/>
    </xf>
    <xf numFmtId="0" fontId="5" fillId="16" borderId="9" xfId="67" applyFont="1" applyFill="1" applyBorder="1" applyAlignment="1" applyProtection="1">
      <alignment horizontal="center" vertical="center" wrapText="1"/>
    </xf>
    <xf numFmtId="166" fontId="76" fillId="17" borderId="1" xfId="67" applyNumberFormat="1" applyFont="1" applyFill="1" applyBorder="1"/>
    <xf numFmtId="14" fontId="0" fillId="17" borderId="1" xfId="0" applyNumberFormat="1" applyFill="1" applyBorder="1"/>
    <xf numFmtId="3" fontId="0" fillId="17" borderId="1" xfId="0" applyNumberFormat="1" applyFill="1" applyBorder="1"/>
    <xf numFmtId="4" fontId="3" fillId="17" borderId="1" xfId="0" applyNumberFormat="1" applyFont="1" applyFill="1" applyBorder="1"/>
    <xf numFmtId="166" fontId="0" fillId="17" borderId="89" xfId="0" applyNumberFormat="1" applyFill="1" applyBorder="1"/>
    <xf numFmtId="166" fontId="77" fillId="2" borderId="77" xfId="0" applyNumberFormat="1" applyFont="1" applyFill="1" applyBorder="1"/>
    <xf numFmtId="0" fontId="0" fillId="17" borderId="50" xfId="0" applyFill="1" applyBorder="1"/>
    <xf numFmtId="0" fontId="0" fillId="17" borderId="95" xfId="0" applyFill="1" applyBorder="1"/>
    <xf numFmtId="3" fontId="5" fillId="0" borderId="0" xfId="67" applyNumberFormat="1" applyFont="1" applyProtection="1"/>
    <xf numFmtId="0" fontId="9" fillId="16" borderId="10" xfId="67" applyFont="1" applyFill="1" applyBorder="1" applyAlignment="1" applyProtection="1">
      <alignment horizontal="right" wrapText="1"/>
    </xf>
    <xf numFmtId="14" fontId="9" fillId="0" borderId="10" xfId="67" applyNumberFormat="1" applyFont="1" applyFill="1" applyBorder="1" applyAlignment="1" applyProtection="1">
      <alignment horizontal="center" vertical="center" wrapText="1"/>
      <protection locked="0"/>
    </xf>
    <xf numFmtId="43" fontId="9" fillId="2" borderId="14" xfId="67" applyNumberFormat="1" applyFont="1" applyFill="1" applyBorder="1" applyAlignment="1" applyProtection="1">
      <alignment horizontal="center" vertical="center" wrapText="1"/>
      <protection locked="0"/>
    </xf>
    <xf numFmtId="0" fontId="9" fillId="16" borderId="5" xfId="67" applyFont="1" applyFill="1" applyBorder="1" applyAlignment="1" applyProtection="1">
      <alignment horizontal="center"/>
    </xf>
    <xf numFmtId="0" fontId="9" fillId="16" borderId="17" xfId="67" applyFont="1" applyFill="1" applyBorder="1" applyAlignment="1" applyProtection="1">
      <alignment horizontal="center"/>
    </xf>
    <xf numFmtId="0" fontId="9" fillId="16" borderId="77" xfId="67" applyFont="1" applyFill="1" applyBorder="1" applyAlignment="1" applyProtection="1">
      <alignment horizontal="center"/>
    </xf>
    <xf numFmtId="0" fontId="9" fillId="16" borderId="38" xfId="67" applyFont="1" applyFill="1" applyBorder="1" applyAlignment="1" applyProtection="1">
      <alignment horizontal="center"/>
    </xf>
    <xf numFmtId="0" fontId="9" fillId="16" borderId="42" xfId="67" applyFont="1" applyFill="1" applyBorder="1" applyAlignment="1" applyProtection="1">
      <alignment horizontal="center"/>
    </xf>
    <xf numFmtId="0" fontId="9" fillId="16" borderId="15" xfId="67" applyFont="1" applyFill="1" applyBorder="1" applyAlignment="1" applyProtection="1">
      <alignment horizontal="center"/>
    </xf>
    <xf numFmtId="0" fontId="5" fillId="0" borderId="95" xfId="67" applyFont="1" applyBorder="1" applyAlignment="1" applyProtection="1">
      <alignment horizontal="center" vertical="center" wrapText="1"/>
      <protection locked="0"/>
    </xf>
    <xf numFmtId="49" fontId="71" fillId="17" borderId="95" xfId="67" applyNumberFormat="1" applyFont="1" applyFill="1" applyBorder="1"/>
    <xf numFmtId="4" fontId="4" fillId="17" borderId="95" xfId="67" applyNumberFormat="1" applyFill="1" applyBorder="1"/>
    <xf numFmtId="49" fontId="4" fillId="17" borderId="95" xfId="67" applyNumberFormat="1" applyFill="1" applyBorder="1"/>
    <xf numFmtId="14" fontId="4" fillId="17" borderId="95" xfId="67" applyNumberFormat="1" applyFill="1" applyBorder="1"/>
    <xf numFmtId="166" fontId="71" fillId="17" borderId="95" xfId="67" applyNumberFormat="1" applyFont="1" applyFill="1" applyBorder="1"/>
    <xf numFmtId="164" fontId="5" fillId="0" borderId="95" xfId="67" applyNumberFormat="1" applyFont="1" applyBorder="1" applyAlignment="1" applyProtection="1">
      <alignment vertical="center" wrapText="1"/>
      <protection locked="0"/>
    </xf>
    <xf numFmtId="164" fontId="75" fillId="0" borderId="1" xfId="3" applyFont="1" applyFill="1" applyBorder="1"/>
    <xf numFmtId="164" fontId="5" fillId="0" borderId="123" xfId="67" applyNumberFormat="1" applyFont="1" applyBorder="1" applyAlignment="1" applyProtection="1">
      <alignment vertical="center" wrapText="1"/>
      <protection locked="0"/>
    </xf>
    <xf numFmtId="4" fontId="49" fillId="0" borderId="1" xfId="61" applyNumberFormat="1" applyFont="1" applyBorder="1" applyAlignment="1">
      <alignment horizontal="right" wrapText="1"/>
    </xf>
    <xf numFmtId="49" fontId="71" fillId="17" borderId="1" xfId="67" applyNumberFormat="1" applyFont="1" applyFill="1" applyBorder="1"/>
    <xf numFmtId="0" fontId="14" fillId="0" borderId="1" xfId="67" applyFont="1" applyBorder="1"/>
    <xf numFmtId="14" fontId="4" fillId="0" borderId="1" xfId="67" applyNumberFormat="1" applyFill="1" applyBorder="1"/>
    <xf numFmtId="166" fontId="71" fillId="17" borderId="1" xfId="67" applyNumberFormat="1" applyFont="1" applyFill="1" applyBorder="1"/>
    <xf numFmtId="164" fontId="5" fillId="0" borderId="1" xfId="67" applyNumberFormat="1" applyFont="1" applyBorder="1" applyAlignment="1" applyProtection="1">
      <alignment vertical="center" wrapText="1"/>
      <protection locked="0"/>
    </xf>
    <xf numFmtId="4" fontId="4" fillId="17" borderId="1" xfId="67" applyNumberFormat="1" applyFill="1" applyBorder="1"/>
    <xf numFmtId="14" fontId="4" fillId="17" borderId="1" xfId="67" applyNumberFormat="1" applyFill="1" applyBorder="1"/>
    <xf numFmtId="4" fontId="31" fillId="17" borderId="1" xfId="67" applyNumberFormat="1" applyFont="1" applyFill="1" applyBorder="1"/>
    <xf numFmtId="164" fontId="78" fillId="18" borderId="1" xfId="3" applyFont="1" applyFill="1" applyBorder="1"/>
    <xf numFmtId="164" fontId="75" fillId="0" borderId="1" xfId="3" applyFont="1" applyFill="1" applyBorder="1" applyAlignment="1">
      <alignment horizontal="right"/>
    </xf>
    <xf numFmtId="49" fontId="52" fillId="17" borderId="1" xfId="67" applyNumberFormat="1" applyFont="1" applyFill="1" applyBorder="1"/>
    <xf numFmtId="0" fontId="4" fillId="17" borderId="1" xfId="67" applyNumberFormat="1" applyFont="1" applyFill="1" applyBorder="1" applyAlignment="1">
      <alignment horizontal="right"/>
    </xf>
    <xf numFmtId="0" fontId="4" fillId="17" borderId="1" xfId="67" applyNumberFormat="1" applyFill="1" applyBorder="1" applyAlignment="1">
      <alignment horizontal="right"/>
    </xf>
    <xf numFmtId="0" fontId="74" fillId="17" borderId="1" xfId="67" applyNumberFormat="1" applyFont="1" applyFill="1" applyBorder="1" applyAlignment="1">
      <alignment horizontal="right"/>
    </xf>
    <xf numFmtId="166" fontId="4" fillId="17" borderId="1" xfId="67" applyNumberFormat="1" applyFill="1" applyBorder="1"/>
    <xf numFmtId="4" fontId="79" fillId="0" borderId="50" xfId="67" applyNumberFormat="1" applyFont="1" applyBorder="1" applyAlignment="1">
      <alignment horizontal="center" wrapText="1"/>
    </xf>
    <xf numFmtId="164" fontId="5" fillId="0" borderId="51" xfId="67" applyNumberFormat="1" applyFont="1" applyBorder="1" applyAlignment="1" applyProtection="1">
      <alignment vertical="center" wrapText="1"/>
      <protection locked="0"/>
    </xf>
    <xf numFmtId="4" fontId="80" fillId="0" borderId="1" xfId="67" applyNumberFormat="1" applyFont="1" applyBorder="1" applyAlignment="1">
      <alignment horizontal="center" wrapText="1"/>
    </xf>
    <xf numFmtId="164" fontId="22" fillId="0" borderId="1" xfId="67" applyNumberFormat="1" applyFont="1" applyBorder="1" applyAlignment="1" applyProtection="1">
      <alignment vertical="center" wrapText="1"/>
      <protection locked="0"/>
    </xf>
    <xf numFmtId="3" fontId="5" fillId="16" borderId="69" xfId="67" applyNumberFormat="1" applyFont="1" applyFill="1" applyBorder="1" applyAlignment="1" applyProtection="1"/>
    <xf numFmtId="3" fontId="5" fillId="16" borderId="69" xfId="67" applyNumberFormat="1" applyFont="1" applyFill="1" applyBorder="1" applyProtection="1"/>
    <xf numFmtId="3" fontId="5" fillId="16" borderId="72" xfId="67" applyNumberFormat="1" applyFont="1" applyFill="1" applyBorder="1" applyProtection="1"/>
    <xf numFmtId="3" fontId="9" fillId="16" borderId="5" xfId="67" applyNumberFormat="1" applyFont="1" applyFill="1" applyBorder="1" applyAlignment="1" applyProtection="1"/>
    <xf numFmtId="164" fontId="5" fillId="16" borderId="3" xfId="67" applyNumberFormat="1" applyFont="1" applyFill="1" applyBorder="1" applyProtection="1"/>
    <xf numFmtId="3" fontId="9" fillId="0" borderId="78" xfId="67" applyNumberFormat="1" applyFont="1" applyFill="1" applyBorder="1" applyAlignment="1" applyProtection="1"/>
    <xf numFmtId="164" fontId="9" fillId="16" borderId="19" xfId="67" applyNumberFormat="1" applyFont="1" applyFill="1" applyBorder="1" applyProtection="1"/>
    <xf numFmtId="0" fontId="5" fillId="0" borderId="20" xfId="67" applyFont="1" applyFill="1" applyBorder="1" applyProtection="1">
      <protection locked="0"/>
    </xf>
    <xf numFmtId="0" fontId="5" fillId="0" borderId="78" xfId="67" applyFont="1" applyFill="1" applyBorder="1" applyProtection="1">
      <protection locked="0"/>
    </xf>
    <xf numFmtId="0" fontId="5" fillId="0" borderId="1" xfId="67" applyFont="1" applyFill="1" applyBorder="1" applyProtection="1">
      <protection locked="0"/>
    </xf>
    <xf numFmtId="0" fontId="5" fillId="0" borderId="1" xfId="67" applyFont="1" applyBorder="1"/>
    <xf numFmtId="0" fontId="5" fillId="16" borderId="83" xfId="67" applyFont="1" applyFill="1" applyBorder="1" applyAlignment="1" applyProtection="1"/>
    <xf numFmtId="0" fontId="9" fillId="0" borderId="48" xfId="67" applyFont="1" applyFill="1" applyBorder="1" applyAlignment="1" applyProtection="1">
      <alignment wrapText="1"/>
      <protection locked="0"/>
    </xf>
    <xf numFmtId="0" fontId="5" fillId="0" borderId="48" xfId="67" applyFont="1" applyFill="1" applyBorder="1" applyAlignment="1" applyProtection="1">
      <alignment wrapText="1"/>
      <protection locked="0"/>
    </xf>
    <xf numFmtId="0" fontId="9" fillId="0" borderId="82" xfId="67" applyFont="1" applyFill="1" applyBorder="1" applyAlignment="1" applyProtection="1">
      <alignment wrapText="1"/>
      <protection locked="0"/>
    </xf>
    <xf numFmtId="0" fontId="5" fillId="0" borderId="48" xfId="67" applyFont="1" applyFill="1" applyBorder="1" applyAlignment="1" applyProtection="1">
      <alignment horizontal="left" wrapText="1"/>
      <protection locked="0"/>
    </xf>
    <xf numFmtId="0" fontId="9" fillId="0" borderId="48" xfId="67" applyFont="1" applyFill="1" applyBorder="1" applyAlignment="1" applyProtection="1">
      <alignment horizontal="left" wrapText="1"/>
      <protection locked="0"/>
    </xf>
    <xf numFmtId="9" fontId="5" fillId="0" borderId="48" xfId="67" applyNumberFormat="1" applyFont="1" applyFill="1" applyBorder="1" applyAlignment="1" applyProtection="1">
      <alignment horizontal="left" wrapText="1"/>
      <protection locked="0"/>
    </xf>
    <xf numFmtId="9" fontId="9" fillId="0" borderId="48" xfId="67" applyNumberFormat="1" applyFont="1" applyFill="1" applyBorder="1" applyAlignment="1" applyProtection="1">
      <alignment horizontal="left" wrapText="1"/>
      <protection locked="0"/>
    </xf>
    <xf numFmtId="9" fontId="9" fillId="0" borderId="82" xfId="67" applyNumberFormat="1" applyFont="1" applyFill="1" applyBorder="1" applyAlignment="1" applyProtection="1">
      <alignment horizontal="left" wrapText="1"/>
      <protection locked="0"/>
    </xf>
    <xf numFmtId="0" fontId="5" fillId="0" borderId="52" xfId="67" applyFont="1" applyFill="1" applyBorder="1" applyAlignment="1" applyProtection="1">
      <alignment wrapText="1"/>
      <protection locked="0"/>
    </xf>
    <xf numFmtId="0" fontId="9" fillId="0" borderId="89" xfId="67" applyFont="1" applyFill="1" applyBorder="1" applyAlignment="1" applyProtection="1">
      <alignment wrapText="1"/>
      <protection locked="0"/>
    </xf>
    <xf numFmtId="0" fontId="5" fillId="0" borderId="20" xfId="67" applyFont="1" applyBorder="1" applyProtection="1">
      <protection locked="0"/>
    </xf>
    <xf numFmtId="0" fontId="5" fillId="0" borderId="9" xfId="67" applyFont="1" applyBorder="1" applyProtection="1">
      <protection locked="0"/>
    </xf>
    <xf numFmtId="3" fontId="9" fillId="0" borderId="0" xfId="67" applyNumberFormat="1" applyFont="1" applyBorder="1" applyProtection="1">
      <protection locked="0"/>
    </xf>
    <xf numFmtId="3" fontId="5" fillId="0" borderId="14" xfId="67" applyNumberFormat="1" applyFont="1" applyBorder="1" applyProtection="1">
      <protection locked="0"/>
    </xf>
    <xf numFmtId="0" fontId="5" fillId="0" borderId="15" xfId="67" applyFont="1" applyBorder="1" applyProtection="1">
      <protection locked="0"/>
    </xf>
    <xf numFmtId="3" fontId="5" fillId="0" borderId="0" xfId="67" applyNumberFormat="1" applyFont="1" applyProtection="1">
      <protection locked="0"/>
    </xf>
    <xf numFmtId="0" fontId="73" fillId="18" borderId="1" xfId="0" applyFont="1" applyFill="1" applyBorder="1" applyAlignment="1">
      <alignment horizontal="right" vertical="center" wrapText="1"/>
    </xf>
    <xf numFmtId="0" fontId="0" fillId="0" borderId="0" xfId="0" applyAlignment="1">
      <alignment vertical="center"/>
    </xf>
    <xf numFmtId="0" fontId="46" fillId="18" borderId="5" xfId="0" applyFont="1" applyFill="1" applyBorder="1" applyAlignment="1">
      <alignment vertical="center"/>
    </xf>
    <xf numFmtId="0" fontId="81" fillId="18" borderId="5" xfId="0" applyFont="1" applyFill="1" applyBorder="1" applyAlignment="1">
      <alignment vertical="center" wrapText="1"/>
    </xf>
    <xf numFmtId="0" fontId="19" fillId="18" borderId="5" xfId="0" applyFont="1" applyFill="1" applyBorder="1" applyAlignment="1">
      <alignment vertical="center" wrapText="1"/>
    </xf>
    <xf numFmtId="0" fontId="46" fillId="18" borderId="15" xfId="0" applyFont="1" applyFill="1" applyBorder="1" applyAlignment="1">
      <alignment horizontal="right" vertical="center"/>
    </xf>
    <xf numFmtId="0" fontId="81" fillId="18" borderId="15" xfId="0" applyFont="1" applyFill="1" applyBorder="1" applyAlignment="1">
      <alignment horizontal="right" vertical="center"/>
    </xf>
    <xf numFmtId="0" fontId="82" fillId="18" borderId="57" xfId="0" applyFont="1" applyFill="1" applyBorder="1" applyAlignment="1">
      <alignment vertical="center"/>
    </xf>
    <xf numFmtId="0" fontId="82" fillId="18" borderId="15" xfId="0" applyFont="1" applyFill="1" applyBorder="1" applyAlignment="1">
      <alignment vertical="center"/>
    </xf>
    <xf numFmtId="0" fontId="82" fillId="18" borderId="15" xfId="0" applyFont="1" applyFill="1" applyBorder="1" applyAlignment="1">
      <alignment horizontal="right" vertical="center"/>
    </xf>
    <xf numFmtId="0" fontId="45" fillId="2" borderId="15" xfId="0" applyFont="1" applyFill="1" applyBorder="1" applyAlignment="1">
      <alignment horizontal="right" vertical="center"/>
    </xf>
    <xf numFmtId="0" fontId="45" fillId="18" borderId="77" xfId="0" applyFont="1" applyFill="1" applyBorder="1" applyAlignment="1">
      <alignment vertical="center"/>
    </xf>
    <xf numFmtId="0" fontId="45" fillId="18" borderId="5" xfId="0" applyFont="1" applyFill="1" applyBorder="1" applyAlignment="1">
      <alignment vertical="center"/>
    </xf>
    <xf numFmtId="14" fontId="19" fillId="18" borderId="15" xfId="0" applyNumberFormat="1" applyFont="1" applyFill="1" applyBorder="1" applyAlignment="1">
      <alignment horizontal="right" vertical="center"/>
    </xf>
    <xf numFmtId="4" fontId="45" fillId="18" borderId="15" xfId="0" applyNumberFormat="1" applyFont="1" applyFill="1" applyBorder="1" applyAlignment="1">
      <alignment horizontal="right" vertical="center"/>
    </xf>
    <xf numFmtId="0" fontId="45" fillId="2" borderId="3" xfId="0" applyFont="1" applyFill="1" applyBorder="1" applyAlignment="1">
      <alignment vertical="center"/>
    </xf>
    <xf numFmtId="0" fontId="45" fillId="2" borderId="4" xfId="0" applyFont="1" applyFill="1" applyBorder="1" applyAlignment="1">
      <alignment vertical="center"/>
    </xf>
    <xf numFmtId="0" fontId="45" fillId="2" borderId="136" xfId="0" applyFont="1" applyFill="1" applyBorder="1" applyAlignment="1">
      <alignment vertical="center"/>
    </xf>
    <xf numFmtId="0" fontId="83" fillId="0" borderId="0" xfId="0" applyFont="1" applyAlignment="1">
      <alignment vertical="center"/>
    </xf>
    <xf numFmtId="0" fontId="84" fillId="0" borderId="0" xfId="0" applyFont="1" applyAlignment="1">
      <alignment vertical="center"/>
    </xf>
    <xf numFmtId="0" fontId="62" fillId="18" borderId="5" xfId="0" applyFont="1" applyFill="1" applyBorder="1" applyAlignment="1">
      <alignment vertical="center"/>
    </xf>
    <xf numFmtId="0" fontId="19" fillId="0" borderId="15" xfId="0" applyFont="1" applyBorder="1" applyAlignment="1">
      <alignment horizontal="right" vertical="center"/>
    </xf>
    <xf numFmtId="0" fontId="19" fillId="0" borderId="15" xfId="0" applyFont="1" applyBorder="1" applyAlignment="1">
      <alignment vertical="center"/>
    </xf>
    <xf numFmtId="0" fontId="73" fillId="18" borderId="39" xfId="0" applyFont="1" applyFill="1" applyBorder="1" applyAlignment="1">
      <alignment horizontal="right" vertical="center"/>
    </xf>
    <xf numFmtId="0" fontId="0" fillId="0" borderId="0" xfId="0" applyAlignment="1">
      <alignment wrapText="1"/>
    </xf>
    <xf numFmtId="0" fontId="47" fillId="17" borderId="39" xfId="0" applyNumberFormat="1" applyFont="1" applyFill="1" applyBorder="1"/>
    <xf numFmtId="0" fontId="73" fillId="18" borderId="39" xfId="0" applyFont="1" applyFill="1" applyBorder="1" applyAlignment="1">
      <alignment vertical="center"/>
    </xf>
    <xf numFmtId="0" fontId="85" fillId="18" borderId="5" xfId="0" applyFont="1" applyFill="1" applyBorder="1" applyAlignment="1">
      <alignment vertical="center" wrapText="1"/>
    </xf>
    <xf numFmtId="0" fontId="86" fillId="18" borderId="15" xfId="0" applyFont="1" applyFill="1" applyBorder="1" applyAlignment="1">
      <alignment horizontal="right" vertical="center"/>
    </xf>
    <xf numFmtId="0" fontId="45" fillId="18" borderId="15" xfId="0" applyFont="1" applyFill="1" applyBorder="1" applyAlignment="1">
      <alignment vertical="center"/>
    </xf>
    <xf numFmtId="0" fontId="85" fillId="18" borderId="15" xfId="0" applyFont="1" applyFill="1" applyBorder="1" applyAlignment="1">
      <alignment horizontal="right" vertical="center"/>
    </xf>
    <xf numFmtId="4" fontId="85" fillId="18" borderId="15" xfId="0" applyNumberFormat="1" applyFont="1" applyFill="1" applyBorder="1" applyAlignment="1">
      <alignment horizontal="right" vertical="center"/>
    </xf>
    <xf numFmtId="0" fontId="87" fillId="18" borderId="15" xfId="0" applyFont="1" applyFill="1" applyBorder="1" applyAlignment="1">
      <alignment horizontal="center" vertical="center"/>
    </xf>
    <xf numFmtId="0" fontId="88" fillId="2" borderId="0" xfId="0" applyFont="1" applyFill="1" applyAlignment="1">
      <alignment horizontal="center" vertical="center"/>
    </xf>
    <xf numFmtId="0" fontId="88" fillId="2" borderId="10" xfId="67" applyFont="1" applyFill="1" applyBorder="1" applyAlignment="1" applyProtection="1">
      <alignment wrapText="1"/>
    </xf>
    <xf numFmtId="165" fontId="17" fillId="0" borderId="10" xfId="3" applyNumberFormat="1" applyFont="1" applyFill="1" applyBorder="1" applyAlignment="1" applyProtection="1">
      <alignment horizontal="center" vertical="center" wrapText="1"/>
      <protection locked="0"/>
    </xf>
    <xf numFmtId="0" fontId="9" fillId="16" borderId="9" xfId="67" applyFont="1" applyFill="1" applyBorder="1" applyAlignment="1" applyProtection="1">
      <alignment horizontal="center" vertical="center" wrapText="1"/>
    </xf>
    <xf numFmtId="0" fontId="5" fillId="16" borderId="15" xfId="67" applyFont="1" applyFill="1" applyBorder="1" applyAlignment="1" applyProtection="1">
      <alignment horizontal="center" vertical="center" wrapText="1"/>
    </xf>
    <xf numFmtId="0" fontId="5" fillId="0" borderId="43" xfId="67" applyFont="1" applyBorder="1" applyAlignment="1" applyProtection="1">
      <alignment horizontal="center" vertical="center" wrapText="1"/>
      <protection locked="0"/>
    </xf>
    <xf numFmtId="49" fontId="4" fillId="0" borderId="51" xfId="67" applyNumberFormat="1" applyFill="1" applyBorder="1"/>
    <xf numFmtId="166" fontId="4" fillId="0" borderId="95" xfId="67" applyNumberFormat="1" applyFill="1" applyBorder="1"/>
    <xf numFmtId="49" fontId="4" fillId="0" borderId="95" xfId="67" applyNumberFormat="1" applyFont="1" applyFill="1" applyBorder="1"/>
    <xf numFmtId="49" fontId="74" fillId="17" borderId="95" xfId="67" applyNumberFormat="1" applyFont="1" applyFill="1" applyBorder="1"/>
    <xf numFmtId="0" fontId="5" fillId="0" borderId="47" xfId="67" applyFont="1" applyBorder="1" applyAlignment="1" applyProtection="1">
      <alignment vertical="center" wrapText="1"/>
      <protection locked="0"/>
    </xf>
    <xf numFmtId="164" fontId="75" fillId="0" borderId="1" xfId="3" applyFont="1" applyFill="1" applyBorder="1" applyAlignment="1">
      <alignment horizontal="center"/>
    </xf>
    <xf numFmtId="0" fontId="5" fillId="0" borderId="48" xfId="67" applyFont="1" applyBorder="1" applyAlignment="1" applyProtection="1">
      <alignment horizontal="center" vertical="center" wrapText="1"/>
      <protection locked="0"/>
    </xf>
    <xf numFmtId="49" fontId="4" fillId="0" borderId="1" xfId="67" applyNumberFormat="1" applyFont="1" applyFill="1" applyBorder="1"/>
    <xf numFmtId="166" fontId="4" fillId="0" borderId="1" xfId="67" applyNumberFormat="1" applyFont="1" applyFill="1" applyBorder="1"/>
    <xf numFmtId="49" fontId="74" fillId="17" borderId="51" xfId="67" applyNumberFormat="1" applyFont="1" applyFill="1" applyBorder="1"/>
    <xf numFmtId="164" fontId="5" fillId="0" borderId="10" xfId="67" applyNumberFormat="1" applyFont="1" applyBorder="1" applyAlignment="1" applyProtection="1">
      <alignment vertical="center" wrapText="1"/>
      <protection locked="0"/>
    </xf>
    <xf numFmtId="0" fontId="5" fillId="0" borderId="53" xfId="67" applyFont="1" applyBorder="1" applyAlignment="1" applyProtection="1">
      <alignment horizontal="left" vertical="center" wrapText="1"/>
      <protection locked="0"/>
    </xf>
    <xf numFmtId="0" fontId="5" fillId="0" borderId="11" xfId="67" applyFont="1" applyBorder="1" applyAlignment="1" applyProtection="1">
      <alignment vertical="center" wrapText="1"/>
      <protection locked="0"/>
    </xf>
    <xf numFmtId="0" fontId="5" fillId="0" borderId="86" xfId="67" applyFont="1" applyBorder="1" applyAlignment="1" applyProtection="1">
      <alignment horizontal="center" vertical="center" wrapText="1"/>
      <protection locked="0"/>
    </xf>
    <xf numFmtId="3" fontId="5" fillId="0" borderId="11" xfId="67" applyNumberFormat="1" applyFont="1" applyBorder="1" applyAlignment="1" applyProtection="1">
      <alignment horizontal="center" vertical="center" wrapText="1"/>
      <protection locked="0"/>
    </xf>
    <xf numFmtId="4" fontId="5" fillId="0" borderId="11" xfId="67" applyNumberFormat="1" applyFont="1" applyBorder="1" applyAlignment="1" applyProtection="1">
      <alignment horizontal="center" vertical="center" wrapText="1"/>
      <protection locked="0"/>
    </xf>
    <xf numFmtId="0" fontId="9" fillId="0" borderId="12" xfId="67" applyFont="1" applyBorder="1" applyAlignment="1" applyProtection="1">
      <alignment horizontal="center" vertical="center" wrapText="1"/>
      <protection locked="0"/>
    </xf>
    <xf numFmtId="0" fontId="5" fillId="0" borderId="55" xfId="67" applyFont="1" applyBorder="1" applyAlignment="1" applyProtection="1">
      <alignment horizontal="center" vertical="center" wrapText="1"/>
      <protection locked="0"/>
    </xf>
    <xf numFmtId="0" fontId="9" fillId="0" borderId="53" xfId="67" applyFont="1" applyBorder="1" applyAlignment="1" applyProtection="1">
      <alignment horizontal="center" vertical="center" wrapText="1"/>
      <protection locked="0"/>
    </xf>
    <xf numFmtId="164" fontId="9" fillId="0" borderId="66" xfId="3" applyFont="1" applyFill="1" applyBorder="1" applyAlignment="1" applyProtection="1">
      <alignment horizontal="right"/>
      <protection locked="0"/>
    </xf>
    <xf numFmtId="0" fontId="9" fillId="16" borderId="77" xfId="67" applyFont="1" applyFill="1" applyBorder="1" applyAlignment="1" applyProtection="1">
      <alignment horizontal="center" vertical="center" wrapText="1"/>
    </xf>
    <xf numFmtId="0" fontId="12" fillId="0" borderId="44" xfId="67" applyFont="1" applyBorder="1" applyAlignment="1">
      <alignment wrapText="1"/>
    </xf>
    <xf numFmtId="0" fontId="5" fillId="0" borderId="79" xfId="67" applyFont="1" applyBorder="1" applyAlignment="1" applyProtection="1">
      <alignment vertical="center" wrapText="1"/>
      <protection locked="0"/>
    </xf>
    <xf numFmtId="0" fontId="5" fillId="0" borderId="45" xfId="67" applyFont="1" applyBorder="1" applyAlignment="1" applyProtection="1">
      <alignment horizontal="left" vertical="center" wrapText="1"/>
      <protection locked="0"/>
    </xf>
    <xf numFmtId="3" fontId="5" fillId="0" borderId="46" xfId="67" applyNumberFormat="1" applyFont="1" applyBorder="1" applyAlignment="1" applyProtection="1">
      <alignment vertical="center" wrapText="1"/>
      <protection locked="0"/>
    </xf>
    <xf numFmtId="0" fontId="5" fillId="0" borderId="44" xfId="67" applyFont="1" applyBorder="1" applyAlignment="1" applyProtection="1">
      <alignment vertical="center" wrapText="1"/>
      <protection locked="0"/>
    </xf>
    <xf numFmtId="0" fontId="5" fillId="0" borderId="43" xfId="67" applyFont="1" applyBorder="1" applyAlignment="1" applyProtection="1">
      <alignment vertical="center" wrapText="1"/>
      <protection locked="0"/>
    </xf>
    <xf numFmtId="0" fontId="5" fillId="0" borderId="46" xfId="67" applyFont="1" applyBorder="1" applyAlignment="1" applyProtection="1">
      <alignment vertical="center" wrapText="1"/>
      <protection locked="0"/>
    </xf>
    <xf numFmtId="49" fontId="4" fillId="17" borderId="0" xfId="67" applyNumberFormat="1" applyFill="1"/>
    <xf numFmtId="4" fontId="79" fillId="0" borderId="1" xfId="67" applyNumberFormat="1" applyFont="1" applyBorder="1" applyAlignment="1">
      <alignment horizontal="center" wrapText="1"/>
    </xf>
    <xf numFmtId="0" fontId="89" fillId="0" borderId="48" xfId="67" applyFont="1" applyBorder="1" applyAlignment="1">
      <alignment vertical="center"/>
    </xf>
    <xf numFmtId="164" fontId="0" fillId="0" borderId="1" xfId="3" applyFont="1" applyBorder="1" applyAlignment="1">
      <alignment horizontal="center"/>
    </xf>
    <xf numFmtId="166" fontId="4" fillId="0" borderId="51" xfId="67" applyNumberFormat="1" applyFont="1" applyFill="1" applyBorder="1"/>
    <xf numFmtId="0" fontId="5" fillId="0" borderId="98" xfId="67" applyFont="1" applyBorder="1" applyAlignment="1" applyProtection="1">
      <alignment vertical="center" wrapText="1"/>
      <protection locked="0"/>
    </xf>
    <xf numFmtId="0" fontId="5" fillId="0" borderId="54" xfId="67" applyFont="1" applyBorder="1" applyAlignment="1" applyProtection="1">
      <alignment horizontal="center" vertical="center" wrapText="1"/>
      <protection locked="0"/>
    </xf>
    <xf numFmtId="3" fontId="5" fillId="0" borderId="16" xfId="67" applyNumberFormat="1" applyFont="1" applyBorder="1" applyAlignment="1" applyProtection="1">
      <alignment horizontal="center" vertical="center" wrapText="1"/>
      <protection locked="0"/>
    </xf>
    <xf numFmtId="4" fontId="5" fillId="0" borderId="52" xfId="67" applyNumberFormat="1" applyFont="1" applyBorder="1" applyAlignment="1" applyProtection="1">
      <alignment vertical="center" wrapText="1"/>
      <protection locked="0"/>
    </xf>
    <xf numFmtId="165" fontId="9" fillId="2" borderId="10" xfId="3" applyNumberFormat="1" applyFont="1" applyFill="1" applyBorder="1" applyAlignment="1" applyProtection="1">
      <alignment horizontal="center" vertical="center" wrapText="1"/>
      <protection locked="0"/>
    </xf>
    <xf numFmtId="0" fontId="9" fillId="0" borderId="0" xfId="67" applyFont="1" applyFill="1" applyBorder="1" applyAlignment="1" applyProtection="1">
      <alignment horizontal="left" vertical="top"/>
      <protection locked="0"/>
    </xf>
    <xf numFmtId="0" fontId="5" fillId="16" borderId="64" xfId="67" applyFont="1" applyFill="1" applyBorder="1" applyAlignment="1" applyProtection="1">
      <alignment horizontal="left"/>
    </xf>
    <xf numFmtId="0" fontId="5" fillId="16" borderId="65" xfId="67" applyFont="1" applyFill="1" applyBorder="1" applyAlignment="1" applyProtection="1">
      <alignment horizontal="left"/>
    </xf>
    <xf numFmtId="0" fontId="5" fillId="16" borderId="70" xfId="67" applyFont="1" applyFill="1" applyBorder="1" applyAlignment="1" applyProtection="1">
      <alignment horizontal="left"/>
    </xf>
    <xf numFmtId="0" fontId="5" fillId="16" borderId="71" xfId="67" applyFont="1" applyFill="1" applyBorder="1" applyAlignment="1" applyProtection="1">
      <alignment horizontal="left"/>
    </xf>
    <xf numFmtId="0" fontId="9" fillId="0" borderId="0" xfId="67" applyFont="1" applyFill="1" applyBorder="1" applyAlignment="1" applyProtection="1">
      <alignment vertical="top"/>
      <protection locked="0"/>
    </xf>
    <xf numFmtId="0" fontId="6" fillId="16" borderId="4" xfId="67" applyFont="1" applyFill="1" applyBorder="1" applyAlignment="1" applyProtection="1">
      <alignment horizontal="center"/>
    </xf>
    <xf numFmtId="0" fontId="6" fillId="16" borderId="5" xfId="67" applyFont="1" applyFill="1" applyBorder="1" applyAlignment="1" applyProtection="1">
      <alignment horizontal="center"/>
    </xf>
    <xf numFmtId="0" fontId="7" fillId="16" borderId="4" xfId="67" applyFont="1" applyFill="1" applyBorder="1" applyAlignment="1" applyProtection="1">
      <alignment horizontal="center"/>
    </xf>
    <xf numFmtId="0" fontId="7" fillId="16" borderId="5" xfId="67" applyFont="1" applyFill="1" applyBorder="1" applyAlignment="1" applyProtection="1">
      <alignment horizontal="center"/>
    </xf>
    <xf numFmtId="0" fontId="9" fillId="16" borderId="20" xfId="67" applyFont="1" applyFill="1" applyBorder="1" applyAlignment="1" applyProtection="1">
      <alignment horizontal="center" vertical="center" wrapText="1"/>
    </xf>
    <xf numFmtId="0" fontId="5" fillId="16" borderId="9" xfId="67" applyFont="1" applyFill="1" applyBorder="1" applyAlignment="1" applyProtection="1">
      <alignment horizontal="center" vertical="center" wrapText="1"/>
    </xf>
    <xf numFmtId="0" fontId="90" fillId="0" borderId="95" xfId="0" applyFont="1" applyFill="1" applyBorder="1" applyAlignment="1">
      <alignment wrapText="1"/>
    </xf>
    <xf numFmtId="171" fontId="90" fillId="0" borderId="95" xfId="0" applyNumberFormat="1" applyFont="1" applyBorder="1"/>
    <xf numFmtId="0" fontId="78" fillId="0" borderId="1" xfId="0" applyFont="1" applyBorder="1"/>
    <xf numFmtId="0" fontId="78" fillId="0" borderId="1" xfId="0" applyFont="1" applyBorder="1" applyAlignment="1">
      <alignment wrapText="1"/>
    </xf>
    <xf numFmtId="0" fontId="4" fillId="17" borderId="1" xfId="67" applyFill="1" applyBorder="1" applyAlignment="1">
      <alignment vertical="top"/>
    </xf>
    <xf numFmtId="0" fontId="4" fillId="17" borderId="1" xfId="67" applyFill="1" applyBorder="1" applyAlignment="1">
      <alignment vertical="top" wrapText="1"/>
    </xf>
    <xf numFmtId="14" fontId="4" fillId="17" borderId="1" xfId="67" applyNumberFormat="1" applyFill="1" applyBorder="1" applyAlignment="1">
      <alignment horizontal="right" vertical="top"/>
    </xf>
    <xf numFmtId="4" fontId="4" fillId="17" borderId="1" xfId="67" applyNumberFormat="1" applyFill="1" applyBorder="1" applyAlignment="1">
      <alignment horizontal="right" vertical="top"/>
    </xf>
    <xf numFmtId="3" fontId="4" fillId="17" borderId="1" xfId="67" applyNumberFormat="1" applyFill="1" applyBorder="1" applyAlignment="1">
      <alignment horizontal="right" vertical="top"/>
    </xf>
    <xf numFmtId="166" fontId="4" fillId="17" borderId="1" xfId="67" applyNumberFormat="1" applyFill="1" applyBorder="1" applyAlignment="1">
      <alignment horizontal="right" vertical="top"/>
    </xf>
    <xf numFmtId="0" fontId="23" fillId="17" borderId="1" xfId="67" applyFont="1" applyFill="1" applyBorder="1" applyAlignment="1">
      <alignment vertical="top"/>
    </xf>
    <xf numFmtId="0" fontId="9" fillId="2" borderId="10" xfId="67" applyFont="1" applyFill="1" applyBorder="1" applyAlignment="1" applyProtection="1">
      <alignment wrapText="1"/>
    </xf>
    <xf numFmtId="0" fontId="17" fillId="0" borderId="0" xfId="67" applyFont="1" applyBorder="1" applyAlignment="1" applyProtection="1">
      <protection locked="0"/>
    </xf>
    <xf numFmtId="0" fontId="9" fillId="0" borderId="0" xfId="67" applyFont="1" applyFill="1" applyBorder="1" applyAlignment="1" applyProtection="1">
      <alignment wrapText="1"/>
      <protection locked="0"/>
    </xf>
    <xf numFmtId="0" fontId="9" fillId="16" borderId="87" xfId="67" applyFont="1" applyFill="1" applyBorder="1" applyAlignment="1" applyProtection="1">
      <alignment horizontal="center"/>
    </xf>
    <xf numFmtId="0" fontId="9" fillId="16" borderId="89" xfId="67" applyFont="1" applyFill="1" applyBorder="1" applyAlignment="1" applyProtection="1">
      <alignment horizontal="center"/>
    </xf>
    <xf numFmtId="0" fontId="9" fillId="0" borderId="87" xfId="67" applyFont="1" applyBorder="1" applyProtection="1">
      <protection locked="0"/>
    </xf>
    <xf numFmtId="0" fontId="9" fillId="0" borderId="89" xfId="67" applyFont="1" applyBorder="1" applyProtection="1">
      <protection locked="0"/>
    </xf>
    <xf numFmtId="0" fontId="5" fillId="0" borderId="95" xfId="67" applyFont="1" applyFill="1" applyBorder="1" applyAlignment="1" applyProtection="1">
      <alignment horizontal="center" vertical="center" wrapText="1"/>
      <protection locked="0"/>
    </xf>
    <xf numFmtId="0" fontId="73" fillId="18" borderId="95" xfId="67" applyFont="1" applyFill="1" applyBorder="1" applyAlignment="1">
      <alignment vertical="center"/>
    </xf>
    <xf numFmtId="14" fontId="73" fillId="18" borderId="95" xfId="67" applyNumberFormat="1" applyFont="1" applyFill="1" applyBorder="1" applyAlignment="1">
      <alignment horizontal="right" vertical="center"/>
    </xf>
    <xf numFmtId="0" fontId="73" fillId="18" borderId="95" xfId="67" applyFont="1" applyFill="1" applyBorder="1" applyAlignment="1">
      <alignment horizontal="right" vertical="center"/>
    </xf>
    <xf numFmtId="166" fontId="4" fillId="17" borderId="95" xfId="67" applyNumberFormat="1" applyFill="1" applyBorder="1"/>
    <xf numFmtId="2" fontId="5" fillId="0" borderId="1" xfId="67" applyNumberFormat="1" applyFont="1" applyFill="1" applyBorder="1" applyAlignment="1" applyProtection="1">
      <alignment horizontal="center" vertical="center" wrapText="1"/>
      <protection locked="0"/>
    </xf>
    <xf numFmtId="0" fontId="5" fillId="0" borderId="1" xfId="67" applyFont="1" applyFill="1" applyBorder="1" applyAlignment="1" applyProtection="1">
      <alignment horizontal="center" vertical="center" wrapText="1"/>
      <protection locked="0"/>
    </xf>
    <xf numFmtId="0" fontId="73" fillId="18" borderId="1" xfId="67" applyFont="1" applyFill="1" applyBorder="1" applyAlignment="1">
      <alignment horizontal="right" vertical="center"/>
    </xf>
    <xf numFmtId="0" fontId="19" fillId="18" borderId="1" xfId="67" applyFont="1" applyFill="1" applyBorder="1" applyAlignment="1">
      <alignment horizontal="center" vertical="center" wrapText="1"/>
    </xf>
    <xf numFmtId="0" fontId="37" fillId="18" borderId="1" xfId="67" applyFont="1" applyFill="1" applyBorder="1" applyAlignment="1">
      <alignment vertical="center"/>
    </xf>
    <xf numFmtId="0" fontId="19" fillId="0" borderId="50" xfId="67" applyFont="1" applyBorder="1" applyAlignment="1">
      <alignment horizontal="center" vertical="center"/>
    </xf>
    <xf numFmtId="0" fontId="73" fillId="18" borderId="1" xfId="67" applyFont="1" applyFill="1" applyBorder="1" applyAlignment="1">
      <alignment vertical="center"/>
    </xf>
    <xf numFmtId="14" fontId="73" fillId="18" borderId="1" xfId="67" applyNumberFormat="1" applyFont="1" applyFill="1" applyBorder="1" applyAlignment="1">
      <alignment horizontal="right" vertical="center"/>
    </xf>
    <xf numFmtId="0" fontId="19" fillId="0" borderId="50" xfId="67" applyFont="1" applyBorder="1" applyAlignment="1">
      <alignment vertical="center"/>
    </xf>
    <xf numFmtId="0" fontId="5" fillId="18" borderId="1" xfId="67" applyFont="1" applyFill="1" applyBorder="1"/>
    <xf numFmtId="0" fontId="73" fillId="18" borderId="1" xfId="67" applyFont="1" applyFill="1" applyBorder="1" applyAlignment="1">
      <alignment horizontal="center" vertical="center"/>
    </xf>
    <xf numFmtId="0" fontId="37" fillId="18" borderId="1" xfId="67" applyFont="1" applyFill="1" applyBorder="1" applyAlignment="1">
      <alignment horizontal="center" vertical="center"/>
    </xf>
    <xf numFmtId="0" fontId="89" fillId="0" borderId="1" xfId="67" applyFont="1" applyFill="1" applyBorder="1" applyAlignment="1">
      <alignment vertical="center"/>
    </xf>
    <xf numFmtId="0" fontId="5" fillId="0" borderId="1" xfId="67" applyFont="1" applyFill="1" applyBorder="1" applyAlignment="1" applyProtection="1">
      <alignment vertical="center" wrapText="1"/>
      <protection locked="0"/>
    </xf>
    <xf numFmtId="0" fontId="89" fillId="0" borderId="1" xfId="67" applyFont="1" applyFill="1" applyBorder="1" applyAlignment="1">
      <alignment horizontal="right" vertical="center"/>
    </xf>
    <xf numFmtId="2" fontId="5" fillId="0" borderId="95" xfId="67" applyNumberFormat="1" applyFont="1" applyFill="1" applyBorder="1" applyAlignment="1" applyProtection="1">
      <alignment horizontal="center" vertical="center" wrapText="1"/>
      <protection locked="0"/>
    </xf>
    <xf numFmtId="0" fontId="5" fillId="0" borderId="121" xfId="67" applyFont="1" applyFill="1" applyBorder="1" applyAlignment="1" applyProtection="1">
      <alignment horizontal="center" vertical="center" wrapText="1"/>
      <protection locked="0"/>
    </xf>
    <xf numFmtId="164" fontId="9" fillId="16" borderId="95" xfId="56" applyFont="1" applyFill="1" applyBorder="1" applyAlignment="1" applyProtection="1">
      <alignment horizontal="center"/>
    </xf>
    <xf numFmtId="164" fontId="5" fillId="0" borderId="139" xfId="56" applyFont="1" applyFill="1" applyBorder="1" applyAlignment="1" applyProtection="1">
      <alignment horizontal="right"/>
      <protection locked="0"/>
    </xf>
    <xf numFmtId="164" fontId="5" fillId="0" borderId="140" xfId="56" applyFont="1" applyFill="1" applyBorder="1" applyAlignment="1" applyProtection="1">
      <alignment horizontal="right"/>
      <protection locked="0"/>
    </xf>
    <xf numFmtId="164" fontId="5" fillId="16" borderId="59" xfId="67" applyNumberFormat="1" applyFont="1" applyFill="1" applyBorder="1" applyProtection="1"/>
    <xf numFmtId="2" fontId="5" fillId="0" borderId="0" xfId="67" applyNumberFormat="1" applyFont="1" applyProtection="1">
      <protection locked="0"/>
    </xf>
    <xf numFmtId="0" fontId="5" fillId="0" borderId="3" xfId="67" applyFont="1" applyBorder="1" applyProtection="1">
      <protection locked="0"/>
    </xf>
    <xf numFmtId="0" fontId="5" fillId="0" borderId="4" xfId="67" applyFont="1" applyBorder="1" applyProtection="1">
      <protection locked="0"/>
    </xf>
    <xf numFmtId="0" fontId="5" fillId="0" borderId="5" xfId="67" applyFont="1" applyBorder="1" applyProtection="1">
      <protection locked="0"/>
    </xf>
    <xf numFmtId="165" fontId="17" fillId="2" borderId="10" xfId="56" applyNumberFormat="1" applyFont="1" applyFill="1" applyBorder="1" applyAlignment="1" applyProtection="1">
      <alignment horizontal="center" vertical="center" wrapText="1"/>
      <protection locked="0"/>
    </xf>
    <xf numFmtId="0" fontId="5" fillId="0" borderId="95" xfId="67" applyFont="1" applyBorder="1" applyAlignment="1" applyProtection="1">
      <alignment horizontal="right" vertical="center" wrapText="1"/>
      <protection locked="0"/>
    </xf>
    <xf numFmtId="49" fontId="74" fillId="17" borderId="95" xfId="67" applyNumberFormat="1" applyFont="1" applyFill="1" applyBorder="1" applyAlignment="1">
      <alignment wrapText="1"/>
    </xf>
    <xf numFmtId="0" fontId="89" fillId="0" borderId="0" xfId="67" applyFont="1"/>
    <xf numFmtId="0" fontId="37" fillId="18" borderId="48" xfId="67" applyFont="1" applyFill="1" applyBorder="1" applyAlignment="1">
      <alignment vertical="center"/>
    </xf>
    <xf numFmtId="0" fontId="39" fillId="18" borderId="48" xfId="67" applyFont="1" applyFill="1" applyBorder="1" applyAlignment="1">
      <alignment vertical="center"/>
    </xf>
    <xf numFmtId="0" fontId="39" fillId="18" borderId="48" xfId="67" applyFont="1" applyFill="1" applyBorder="1" applyAlignment="1">
      <alignment vertical="center" wrapText="1"/>
    </xf>
    <xf numFmtId="0" fontId="89" fillId="0" borderId="57" xfId="67" applyFont="1" applyBorder="1" applyAlignment="1">
      <alignment vertical="center"/>
    </xf>
    <xf numFmtId="0" fontId="89" fillId="0" borderId="15" xfId="67" applyFont="1" applyBorder="1" applyAlignment="1">
      <alignment vertical="center"/>
    </xf>
    <xf numFmtId="0" fontId="5" fillId="0" borderId="1" xfId="67" applyFont="1" applyBorder="1" applyAlignment="1" applyProtection="1">
      <alignment horizontal="right"/>
      <protection locked="0"/>
    </xf>
    <xf numFmtId="166" fontId="3" fillId="17" borderId="1" xfId="67" applyNumberFormat="1" applyFont="1" applyFill="1" applyBorder="1"/>
    <xf numFmtId="166" fontId="3" fillId="17" borderId="1" xfId="67" applyNumberFormat="1" applyFont="1" applyFill="1" applyBorder="1" applyAlignment="1">
      <alignment wrapText="1"/>
    </xf>
    <xf numFmtId="167" fontId="37" fillId="18" borderId="49" xfId="67" applyNumberFormat="1" applyFont="1" applyFill="1" applyBorder="1" applyAlignment="1">
      <alignment vertical="center"/>
    </xf>
    <xf numFmtId="0" fontId="37" fillId="18" borderId="51" xfId="67" applyFont="1" applyFill="1" applyBorder="1" applyAlignment="1">
      <alignment vertical="center"/>
    </xf>
    <xf numFmtId="0" fontId="5" fillId="0" borderId="1" xfId="67" applyFont="1" applyBorder="1" applyAlignment="1" applyProtection="1">
      <alignment horizontal="left" vertical="center" wrapText="1"/>
      <protection locked="0"/>
    </xf>
    <xf numFmtId="4" fontId="5" fillId="0" borderId="53" xfId="67" applyNumberFormat="1" applyFont="1" applyBorder="1" applyAlignment="1" applyProtection="1">
      <alignment vertical="center" wrapText="1"/>
      <protection locked="0"/>
    </xf>
    <xf numFmtId="49" fontId="24" fillId="17" borderId="1" xfId="67" applyNumberFormat="1" applyFont="1" applyFill="1" applyBorder="1"/>
    <xf numFmtId="0" fontId="5" fillId="0" borderId="0" xfId="67" applyFont="1" applyBorder="1" applyProtection="1"/>
    <xf numFmtId="164" fontId="5" fillId="0" borderId="0" xfId="67" applyNumberFormat="1" applyFont="1" applyBorder="1" applyProtection="1">
      <protection locked="0"/>
    </xf>
    <xf numFmtId="0" fontId="5" fillId="0" borderId="82" xfId="67" applyFont="1" applyFill="1" applyBorder="1" applyAlignment="1" applyProtection="1">
      <alignment horizontal="left" wrapText="1"/>
      <protection locked="0"/>
    </xf>
    <xf numFmtId="0" fontId="5" fillId="0" borderId="98" xfId="67" applyFont="1" applyFill="1" applyBorder="1" applyAlignment="1" applyProtection="1">
      <alignment wrapText="1"/>
      <protection locked="0"/>
    </xf>
    <xf numFmtId="0" fontId="78" fillId="0" borderId="95" xfId="0" applyFont="1" applyBorder="1"/>
    <xf numFmtId="4" fontId="19" fillId="18" borderId="1" xfId="0" applyNumberFormat="1" applyFont="1" applyFill="1" applyBorder="1" applyAlignment="1">
      <alignment horizontal="right" vertical="center"/>
    </xf>
    <xf numFmtId="0" fontId="62" fillId="18" borderId="5" xfId="0" applyFont="1" applyFill="1" applyBorder="1" applyAlignment="1">
      <alignment vertical="center" wrapText="1"/>
    </xf>
    <xf numFmtId="14" fontId="82" fillId="18" borderId="15" xfId="0" applyNumberFormat="1" applyFont="1" applyFill="1" applyBorder="1" applyAlignment="1">
      <alignment horizontal="right" vertical="center"/>
    </xf>
    <xf numFmtId="0" fontId="82" fillId="18" borderId="15" xfId="0" applyFont="1" applyFill="1" applyBorder="1" applyAlignment="1">
      <alignment vertical="center" wrapText="1"/>
    </xf>
    <xf numFmtId="4" fontId="82" fillId="18" borderId="15" xfId="0" applyNumberFormat="1" applyFont="1" applyFill="1" applyBorder="1" applyAlignment="1">
      <alignment horizontal="right" vertical="center"/>
    </xf>
    <xf numFmtId="0" fontId="62" fillId="2" borderId="15" xfId="0" applyFont="1" applyFill="1" applyBorder="1" applyAlignment="1">
      <alignment horizontal="right" vertical="center"/>
    </xf>
    <xf numFmtId="0" fontId="19" fillId="0" borderId="1" xfId="0" applyFont="1" applyBorder="1" applyAlignment="1">
      <alignment vertical="center"/>
    </xf>
    <xf numFmtId="0" fontId="81" fillId="18" borderId="77" xfId="0" applyFont="1" applyFill="1" applyBorder="1" applyAlignment="1">
      <alignment vertical="center"/>
    </xf>
    <xf numFmtId="0" fontId="81" fillId="18" borderId="5" xfId="0" applyFont="1" applyFill="1" applyBorder="1" applyAlignment="1">
      <alignment vertical="center"/>
    </xf>
    <xf numFmtId="0" fontId="81" fillId="18" borderId="4" xfId="0" applyFont="1" applyFill="1" applyBorder="1" applyAlignment="1">
      <alignment vertical="center" wrapText="1"/>
    </xf>
    <xf numFmtId="0" fontId="92" fillId="0" borderId="19" xfId="0" applyFont="1" applyBorder="1" applyAlignment="1">
      <alignment vertical="center" wrapText="1"/>
    </xf>
    <xf numFmtId="0" fontId="85" fillId="18" borderId="9" xfId="0" applyFont="1" applyFill="1" applyBorder="1" applyAlignment="1">
      <alignment vertical="center" wrapText="1"/>
    </xf>
    <xf numFmtId="0" fontId="85" fillId="18" borderId="15" xfId="0" applyFont="1" applyFill="1" applyBorder="1" applyAlignment="1">
      <alignment vertical="center" wrapText="1"/>
    </xf>
    <xf numFmtId="0" fontId="93" fillId="0" borderId="0" xfId="0" applyFont="1" applyAlignment="1">
      <alignment horizontal="right" vertical="center"/>
    </xf>
    <xf numFmtId="0" fontId="93" fillId="0" borderId="9" xfId="0" applyFont="1" applyBorder="1" applyAlignment="1">
      <alignment horizontal="right" vertical="center"/>
    </xf>
    <xf numFmtId="0" fontId="93" fillId="0" borderId="15" xfId="0" applyFont="1" applyBorder="1" applyAlignment="1">
      <alignment vertical="center" wrapText="1"/>
    </xf>
    <xf numFmtId="0" fontId="93" fillId="0" borderId="57" xfId="0" applyFont="1" applyBorder="1" applyAlignment="1">
      <alignment horizontal="right" vertical="center"/>
    </xf>
    <xf numFmtId="14" fontId="85" fillId="18" borderId="143" xfId="0" applyNumberFormat="1" applyFont="1" applyFill="1" applyBorder="1" applyAlignment="1">
      <alignment horizontal="center" vertical="center"/>
    </xf>
    <xf numFmtId="0" fontId="85" fillId="18" borderId="143" xfId="0" applyFont="1" applyFill="1" applyBorder="1" applyAlignment="1">
      <alignment horizontal="center" vertical="center"/>
    </xf>
    <xf numFmtId="0" fontId="93" fillId="0" borderId="15" xfId="0" applyFont="1" applyBorder="1" applyAlignment="1">
      <alignment horizontal="right" vertical="center"/>
    </xf>
    <xf numFmtId="0" fontId="93" fillId="0" borderId="143" xfId="0" applyFont="1" applyBorder="1" applyAlignment="1">
      <alignment horizontal="center" vertical="center" wrapText="1"/>
    </xf>
    <xf numFmtId="0" fontId="93" fillId="0" borderId="15" xfId="0" applyFont="1" applyBorder="1" applyAlignment="1">
      <alignment vertical="center"/>
    </xf>
    <xf numFmtId="0" fontId="92" fillId="0" borderId="57" xfId="0" applyFont="1" applyBorder="1" applyAlignment="1">
      <alignment horizontal="right" vertical="center" wrapText="1"/>
    </xf>
    <xf numFmtId="0" fontId="49" fillId="0" borderId="0" xfId="0" applyFont="1"/>
    <xf numFmtId="0" fontId="19" fillId="0" borderId="77" xfId="0" applyFont="1" applyBorder="1" applyAlignment="1">
      <alignment vertical="center"/>
    </xf>
    <xf numFmtId="0" fontId="45" fillId="0" borderId="5" xfId="0" applyFont="1" applyBorder="1" applyAlignment="1">
      <alignment horizontal="right" vertical="center"/>
    </xf>
    <xf numFmtId="0" fontId="19" fillId="0" borderId="5" xfId="0" applyFont="1" applyBorder="1" applyAlignment="1">
      <alignment vertical="center"/>
    </xf>
    <xf numFmtId="0" fontId="45" fillId="0" borderId="15" xfId="0" applyFont="1" applyBorder="1" applyAlignment="1">
      <alignment horizontal="right" vertical="center"/>
    </xf>
    <xf numFmtId="0" fontId="19" fillId="0" borderId="57" xfId="0" applyFont="1" applyBorder="1" applyAlignment="1">
      <alignment vertical="center"/>
    </xf>
    <xf numFmtId="0" fontId="45" fillId="0" borderId="15" xfId="0" applyFont="1" applyBorder="1" applyAlignment="1">
      <alignment vertical="center"/>
    </xf>
    <xf numFmtId="0" fontId="45" fillId="2" borderId="57" xfId="0" applyFont="1" applyFill="1" applyBorder="1" applyAlignment="1">
      <alignment vertical="center"/>
    </xf>
    <xf numFmtId="0" fontId="76" fillId="0" borderId="0" xfId="0" applyFont="1"/>
    <xf numFmtId="14" fontId="85" fillId="0" borderId="144" xfId="0" applyNumberFormat="1" applyFont="1" applyBorder="1" applyAlignment="1">
      <alignment horizontal="right" vertical="center"/>
    </xf>
    <xf numFmtId="14" fontId="85" fillId="0" borderId="27" xfId="0" applyNumberFormat="1" applyFont="1" applyBorder="1" applyAlignment="1">
      <alignment horizontal="right" vertical="center"/>
    </xf>
    <xf numFmtId="14" fontId="85" fillId="0" borderId="142" xfId="0" applyNumberFormat="1" applyFont="1" applyBorder="1" applyAlignment="1">
      <alignment horizontal="right" vertical="center"/>
    </xf>
    <xf numFmtId="4" fontId="85" fillId="0" borderId="144" xfId="0" applyNumberFormat="1" applyFont="1" applyBorder="1" applyAlignment="1">
      <alignment horizontal="right" vertical="center"/>
    </xf>
    <xf numFmtId="4" fontId="85" fillId="0" borderId="27" xfId="0" applyNumberFormat="1" applyFont="1" applyBorder="1" applyAlignment="1">
      <alignment horizontal="right" vertical="center"/>
    </xf>
    <xf numFmtId="4" fontId="85" fillId="0" borderId="142" xfId="0" applyNumberFormat="1" applyFont="1" applyBorder="1" applyAlignment="1">
      <alignment horizontal="right" vertical="center"/>
    </xf>
    <xf numFmtId="0" fontId="92" fillId="0" borderId="144" xfId="0" applyFont="1" applyBorder="1" applyAlignment="1">
      <alignment horizontal="right" vertical="center" wrapText="1"/>
    </xf>
    <xf numFmtId="0" fontId="92" fillId="0" borderId="27" xfId="0" applyFont="1" applyBorder="1" applyAlignment="1">
      <alignment horizontal="right" vertical="center" wrapText="1"/>
    </xf>
    <xf numFmtId="0" fontId="92" fillId="0" borderId="142" xfId="0" applyFont="1" applyBorder="1" applyAlignment="1">
      <alignment horizontal="right" vertical="center" wrapText="1"/>
    </xf>
    <xf numFmtId="0" fontId="93" fillId="0" borderId="144" xfId="0" applyFont="1" applyBorder="1" applyAlignment="1">
      <alignment horizontal="right" vertical="center"/>
    </xf>
    <xf numFmtId="0" fontId="93" fillId="0" borderId="27" xfId="0" applyFont="1" applyBorder="1" applyAlignment="1">
      <alignment horizontal="right" vertical="center"/>
    </xf>
    <xf numFmtId="0" fontId="93" fillId="0" borderId="142" xfId="0" applyFont="1" applyBorder="1" applyAlignment="1">
      <alignment horizontal="right" vertical="center"/>
    </xf>
    <xf numFmtId="14" fontId="85" fillId="18" borderId="144" xfId="0" applyNumberFormat="1" applyFont="1" applyFill="1" applyBorder="1" applyAlignment="1">
      <alignment horizontal="center" vertical="center"/>
    </xf>
    <xf numFmtId="14" fontId="85" fillId="18" borderId="27" xfId="0" applyNumberFormat="1" applyFont="1" applyFill="1" applyBorder="1" applyAlignment="1">
      <alignment horizontal="center" vertical="center"/>
    </xf>
    <xf numFmtId="14" fontId="85" fillId="18" borderId="142" xfId="0" applyNumberFormat="1" applyFont="1" applyFill="1" applyBorder="1" applyAlignment="1">
      <alignment horizontal="center" vertical="center"/>
    </xf>
    <xf numFmtId="0" fontId="85" fillId="18" borderId="144" xfId="0" applyFont="1" applyFill="1" applyBorder="1" applyAlignment="1">
      <alignment horizontal="center" vertical="center"/>
    </xf>
    <xf numFmtId="0" fontId="85" fillId="18" borderId="27" xfId="0" applyFont="1" applyFill="1" applyBorder="1" applyAlignment="1">
      <alignment horizontal="center" vertical="center"/>
    </xf>
    <xf numFmtId="0" fontId="85" fillId="18" borderId="142" xfId="0" applyFont="1" applyFill="1" applyBorder="1" applyAlignment="1">
      <alignment horizontal="center" vertical="center"/>
    </xf>
    <xf numFmtId="0" fontId="92" fillId="0" borderId="144" xfId="0" applyFont="1" applyBorder="1" applyAlignment="1">
      <alignment horizontal="center" vertical="center" wrapText="1"/>
    </xf>
    <xf numFmtId="0" fontId="92" fillId="0" borderId="27" xfId="0" applyFont="1" applyBorder="1" applyAlignment="1">
      <alignment horizontal="center" vertical="center" wrapText="1"/>
    </xf>
    <xf numFmtId="0" fontId="92" fillId="0" borderId="142" xfId="0" applyFont="1" applyBorder="1" applyAlignment="1">
      <alignment horizontal="center" vertical="center" wrapText="1"/>
    </xf>
    <xf numFmtId="0" fontId="93" fillId="0" borderId="144" xfId="0" applyFont="1" applyBorder="1" applyAlignment="1">
      <alignment vertical="center"/>
    </xf>
    <xf numFmtId="0" fontId="93" fillId="0" borderId="27" xfId="0" applyFont="1" applyBorder="1" applyAlignment="1">
      <alignment vertical="center"/>
    </xf>
    <xf numFmtId="0" fontId="93" fillId="0" borderId="142" xfId="0" applyFont="1" applyBorder="1" applyAlignment="1">
      <alignment vertical="center"/>
    </xf>
    <xf numFmtId="0" fontId="92" fillId="0" borderId="19" xfId="0" applyFont="1" applyBorder="1" applyAlignment="1">
      <alignment horizontal="right" vertical="center" wrapText="1"/>
    </xf>
    <xf numFmtId="0" fontId="85" fillId="18" borderId="144" xfId="0" applyFont="1" applyFill="1" applyBorder="1" applyAlignment="1">
      <alignment horizontal="right" vertical="center"/>
    </xf>
    <xf numFmtId="0" fontId="85" fillId="18" borderId="27" xfId="0" applyFont="1" applyFill="1" applyBorder="1" applyAlignment="1">
      <alignment horizontal="right" vertical="center"/>
    </xf>
    <xf numFmtId="0" fontId="85" fillId="18" borderId="142" xfId="0" applyFont="1" applyFill="1" applyBorder="1" applyAlignment="1">
      <alignment horizontal="right" vertical="center"/>
    </xf>
    <xf numFmtId="14" fontId="85" fillId="18" borderId="144" xfId="0" applyNumberFormat="1" applyFont="1" applyFill="1" applyBorder="1" applyAlignment="1">
      <alignment horizontal="right" vertical="center"/>
    </xf>
    <xf numFmtId="14" fontId="85" fillId="18" borderId="27" xfId="0" applyNumberFormat="1" applyFont="1" applyFill="1" applyBorder="1" applyAlignment="1">
      <alignment horizontal="right" vertical="center"/>
    </xf>
    <xf numFmtId="14" fontId="85" fillId="18" borderId="142" xfId="0" applyNumberFormat="1" applyFont="1" applyFill="1" applyBorder="1" applyAlignment="1">
      <alignment horizontal="right" vertical="center"/>
    </xf>
    <xf numFmtId="0" fontId="85" fillId="18" borderId="144" xfId="0" applyFont="1" applyFill="1" applyBorder="1" applyAlignment="1">
      <alignment vertical="center"/>
    </xf>
    <xf numFmtId="0" fontId="85" fillId="18" borderId="27" xfId="0" applyFont="1" applyFill="1" applyBorder="1" applyAlignment="1">
      <alignment vertical="center"/>
    </xf>
    <xf numFmtId="0" fontId="85" fillId="18" borderId="142" xfId="0" applyFont="1" applyFill="1" applyBorder="1" applyAlignment="1">
      <alignment vertical="center"/>
    </xf>
    <xf numFmtId="0" fontId="85" fillId="0" borderId="144" xfId="0" applyFont="1" applyBorder="1" applyAlignment="1">
      <alignment horizontal="right" vertical="center"/>
    </xf>
    <xf numFmtId="0" fontId="85" fillId="0" borderId="27" xfId="0" applyFont="1" applyBorder="1" applyAlignment="1">
      <alignment horizontal="right" vertical="center"/>
    </xf>
    <xf numFmtId="0" fontId="85" fillId="0" borderId="142" xfId="0" applyFont="1" applyBorder="1" applyAlignment="1">
      <alignment horizontal="right" vertical="center"/>
    </xf>
    <xf numFmtId="0" fontId="85" fillId="18" borderId="19" xfId="0" applyFont="1" applyFill="1" applyBorder="1" applyAlignment="1">
      <alignment vertical="center"/>
    </xf>
    <xf numFmtId="0" fontId="85" fillId="0" borderId="19" xfId="0" applyFont="1" applyBorder="1" applyAlignment="1">
      <alignment horizontal="right" vertical="center"/>
    </xf>
    <xf numFmtId="14" fontId="85" fillId="0" borderId="19" xfId="0" applyNumberFormat="1" applyFont="1" applyBorder="1" applyAlignment="1">
      <alignment horizontal="right" vertical="center"/>
    </xf>
    <xf numFmtId="4" fontId="85" fillId="0" borderId="19" xfId="0" applyNumberFormat="1" applyFont="1" applyBorder="1" applyAlignment="1">
      <alignment horizontal="right" vertical="center"/>
    </xf>
    <xf numFmtId="0" fontId="85" fillId="18" borderId="19" xfId="0" applyFont="1" applyFill="1" applyBorder="1" applyAlignment="1">
      <alignment horizontal="right" vertical="center"/>
    </xf>
    <xf numFmtId="14" fontId="85" fillId="18" borderId="19" xfId="0" applyNumberFormat="1" applyFont="1" applyFill="1" applyBorder="1" applyAlignment="1">
      <alignment horizontal="right" vertical="center"/>
    </xf>
    <xf numFmtId="0" fontId="9" fillId="0" borderId="17" xfId="67" applyFont="1" applyFill="1" applyBorder="1" applyAlignment="1" applyProtection="1">
      <alignment horizontal="left" vertical="top"/>
      <protection locked="0"/>
    </xf>
    <xf numFmtId="0" fontId="9" fillId="0" borderId="0" xfId="67" applyFont="1" applyFill="1" applyBorder="1" applyAlignment="1" applyProtection="1">
      <alignment horizontal="left" vertical="top"/>
      <protection locked="0"/>
    </xf>
    <xf numFmtId="0" fontId="9" fillId="0" borderId="9" xfId="67" applyFont="1" applyFill="1" applyBorder="1" applyAlignment="1" applyProtection="1">
      <alignment horizontal="left" vertical="top"/>
      <protection locked="0"/>
    </xf>
    <xf numFmtId="0" fontId="9" fillId="0" borderId="18" xfId="67" applyFont="1" applyFill="1" applyBorder="1" applyAlignment="1" applyProtection="1">
      <alignment horizontal="left" vertical="top"/>
      <protection locked="0"/>
    </xf>
    <xf numFmtId="0" fontId="9" fillId="0" borderId="78" xfId="67" applyFont="1" applyFill="1" applyBorder="1" applyAlignment="1" applyProtection="1">
      <alignment horizontal="left" vertical="top"/>
      <protection locked="0"/>
    </xf>
    <xf numFmtId="0" fontId="9" fillId="0" borderId="20" xfId="67" applyFont="1" applyFill="1" applyBorder="1" applyAlignment="1" applyProtection="1">
      <alignment horizontal="left" vertical="top"/>
      <protection locked="0"/>
    </xf>
    <xf numFmtId="0" fontId="9" fillId="0" borderId="56" xfId="67" applyFont="1" applyFill="1" applyBorder="1" applyAlignment="1" applyProtection="1">
      <alignment horizontal="left" vertical="top"/>
      <protection locked="0"/>
    </xf>
    <xf numFmtId="0" fontId="9" fillId="0" borderId="14" xfId="67" applyFont="1" applyFill="1" applyBorder="1" applyAlignment="1" applyProtection="1">
      <alignment horizontal="left" vertical="top"/>
      <protection locked="0"/>
    </xf>
    <xf numFmtId="0" fontId="9" fillId="0" borderId="15" xfId="67" applyFont="1" applyFill="1" applyBorder="1" applyAlignment="1" applyProtection="1">
      <alignment horizontal="left" vertical="top"/>
      <protection locked="0"/>
    </xf>
    <xf numFmtId="0" fontId="5" fillId="16" borderId="58" xfId="67" applyFont="1" applyFill="1" applyBorder="1" applyAlignment="1" applyProtection="1">
      <alignment horizontal="left"/>
    </xf>
    <xf numFmtId="0" fontId="5" fillId="16" borderId="59" xfId="67" applyFont="1" applyFill="1" applyBorder="1" applyAlignment="1" applyProtection="1">
      <alignment horizontal="left"/>
    </xf>
    <xf numFmtId="0" fontId="5" fillId="16" borderId="64" xfId="67" applyFont="1" applyFill="1" applyBorder="1" applyAlignment="1" applyProtection="1">
      <alignment horizontal="left"/>
    </xf>
    <xf numFmtId="0" fontId="5" fillId="16" borderId="65" xfId="67" applyFont="1" applyFill="1" applyBorder="1" applyAlignment="1" applyProtection="1">
      <alignment horizontal="left"/>
    </xf>
    <xf numFmtId="0" fontId="5" fillId="16" borderId="70" xfId="67" applyFont="1" applyFill="1" applyBorder="1" applyAlignment="1" applyProtection="1">
      <alignment horizontal="left"/>
    </xf>
    <xf numFmtId="0" fontId="5" fillId="16" borderId="71" xfId="67" applyFont="1" applyFill="1" applyBorder="1" applyAlignment="1" applyProtection="1">
      <alignment horizontal="left"/>
    </xf>
    <xf numFmtId="0" fontId="9" fillId="0" borderId="17" xfId="67" applyFont="1" applyFill="1" applyBorder="1" applyAlignment="1" applyProtection="1">
      <alignment vertical="top"/>
      <protection locked="0"/>
    </xf>
    <xf numFmtId="0" fontId="9" fillId="0" borderId="0" xfId="67" applyFont="1" applyFill="1" applyBorder="1" applyAlignment="1" applyProtection="1">
      <alignment vertical="top"/>
      <protection locked="0"/>
    </xf>
    <xf numFmtId="0" fontId="9" fillId="0" borderId="9" xfId="67" applyFont="1" applyFill="1" applyBorder="1" applyAlignment="1" applyProtection="1">
      <alignment vertical="top"/>
      <protection locked="0"/>
    </xf>
    <xf numFmtId="0" fontId="10" fillId="0" borderId="96" xfId="67" applyFont="1" applyFill="1" applyBorder="1" applyAlignment="1" applyProtection="1">
      <alignment horizontal="center" wrapText="1"/>
      <protection locked="0"/>
    </xf>
    <xf numFmtId="0" fontId="10" fillId="0" borderId="97" xfId="67" applyFont="1" applyFill="1" applyBorder="1" applyAlignment="1" applyProtection="1">
      <alignment horizontal="center" wrapText="1"/>
      <protection locked="0"/>
    </xf>
    <xf numFmtId="0" fontId="9" fillId="16" borderId="4" xfId="67" applyFont="1" applyFill="1" applyBorder="1" applyAlignment="1" applyProtection="1">
      <alignment horizontal="center"/>
    </xf>
    <xf numFmtId="0" fontId="9" fillId="16" borderId="3" xfId="67" applyFont="1" applyFill="1" applyBorder="1" applyAlignment="1" applyProtection="1">
      <alignment horizontal="center"/>
    </xf>
    <xf numFmtId="0" fontId="9" fillId="16" borderId="5" xfId="67" applyFont="1" applyFill="1" applyBorder="1" applyAlignment="1" applyProtection="1">
      <alignment horizontal="center"/>
    </xf>
    <xf numFmtId="0" fontId="10" fillId="0" borderId="23" xfId="67" applyFont="1" applyFill="1" applyBorder="1" applyAlignment="1" applyProtection="1">
      <alignment horizontal="center" wrapText="1"/>
      <protection locked="0"/>
    </xf>
    <xf numFmtId="0" fontId="10" fillId="0" borderId="26" xfId="67" applyFont="1" applyFill="1" applyBorder="1" applyAlignment="1" applyProtection="1">
      <alignment horizontal="center" wrapText="1"/>
      <protection locked="0"/>
    </xf>
    <xf numFmtId="0" fontId="10" fillId="0" borderId="17" xfId="67" applyFont="1" applyFill="1" applyBorder="1" applyAlignment="1" applyProtection="1">
      <alignment horizontal="center" wrapText="1"/>
      <protection locked="0"/>
    </xf>
    <xf numFmtId="0" fontId="10" fillId="0" borderId="30" xfId="67" applyFont="1" applyFill="1" applyBorder="1" applyAlignment="1" applyProtection="1">
      <alignment horizontal="center" wrapText="1"/>
      <protection locked="0"/>
    </xf>
    <xf numFmtId="0" fontId="10" fillId="0" borderId="0" xfId="67" applyFont="1" applyFill="1" applyBorder="1" applyAlignment="1" applyProtection="1">
      <alignment horizontal="center" wrapText="1"/>
      <protection locked="0"/>
    </xf>
    <xf numFmtId="0" fontId="10" fillId="0" borderId="28" xfId="67" applyFont="1" applyFill="1" applyBorder="1" applyAlignment="1" applyProtection="1">
      <alignment horizontal="center" wrapText="1"/>
      <protection locked="0"/>
    </xf>
    <xf numFmtId="0" fontId="6" fillId="16" borderId="3" xfId="67" applyFont="1" applyFill="1" applyBorder="1" applyAlignment="1" applyProtection="1">
      <alignment horizontal="center"/>
    </xf>
    <xf numFmtId="0" fontId="6" fillId="16" borderId="4" xfId="67" applyFont="1" applyFill="1" applyBorder="1" applyAlignment="1" applyProtection="1">
      <alignment horizontal="center"/>
    </xf>
    <xf numFmtId="0" fontId="7" fillId="16" borderId="3" xfId="67" applyFont="1" applyFill="1" applyBorder="1" applyAlignment="1" applyProtection="1">
      <alignment horizontal="center"/>
    </xf>
    <xf numFmtId="0" fontId="7" fillId="16" borderId="4" xfId="67" applyFont="1" applyFill="1" applyBorder="1" applyAlignment="1" applyProtection="1">
      <alignment horizontal="center"/>
    </xf>
    <xf numFmtId="0" fontId="9" fillId="16" borderId="8" xfId="67" applyFont="1" applyFill="1" applyBorder="1" applyAlignment="1" applyProtection="1">
      <alignment horizontal="center" vertical="center" wrapText="1"/>
    </xf>
    <xf numFmtId="0" fontId="9" fillId="16" borderId="13" xfId="67" applyFont="1" applyFill="1" applyBorder="1" applyAlignment="1" applyProtection="1">
      <alignment horizontal="center" vertical="center" wrapText="1"/>
    </xf>
    <xf numFmtId="0" fontId="9" fillId="16" borderId="18" xfId="67" applyFont="1" applyFill="1" applyBorder="1" applyAlignment="1" applyProtection="1">
      <alignment horizontal="center" vertical="center"/>
    </xf>
    <xf numFmtId="0" fontId="9" fillId="16" borderId="17" xfId="67" applyFont="1" applyFill="1" applyBorder="1" applyAlignment="1" applyProtection="1">
      <alignment horizontal="center" vertical="center"/>
    </xf>
    <xf numFmtId="0" fontId="9" fillId="16" borderId="56" xfId="67" applyFont="1" applyFill="1" applyBorder="1" applyAlignment="1" applyProtection="1">
      <alignment horizontal="center" vertical="center"/>
    </xf>
    <xf numFmtId="0" fontId="9" fillId="16" borderId="19" xfId="67" applyFont="1" applyFill="1" applyBorder="1" applyAlignment="1" applyProtection="1">
      <alignment horizontal="center" vertical="center" wrapText="1"/>
    </xf>
    <xf numFmtId="0" fontId="9" fillId="16" borderId="27" xfId="67" applyFont="1" applyFill="1" applyBorder="1" applyAlignment="1" applyProtection="1">
      <alignment horizontal="center" vertical="center" wrapText="1"/>
    </xf>
    <xf numFmtId="0" fontId="9" fillId="16" borderId="57" xfId="67" applyFont="1" applyFill="1" applyBorder="1" applyAlignment="1" applyProtection="1">
      <alignment horizontal="center" vertical="center" wrapText="1"/>
    </xf>
    <xf numFmtId="0" fontId="5" fillId="16" borderId="27" xfId="67" applyFont="1" applyFill="1" applyBorder="1" applyAlignment="1" applyProtection="1">
      <alignment horizontal="center" vertical="center" wrapText="1"/>
    </xf>
    <xf numFmtId="0" fontId="5" fillId="16" borderId="57" xfId="67" applyFont="1" applyFill="1" applyBorder="1" applyAlignment="1" applyProtection="1">
      <alignment horizontal="center" vertical="center" wrapText="1"/>
    </xf>
    <xf numFmtId="0" fontId="9" fillId="16" borderId="20" xfId="67" applyFont="1" applyFill="1" applyBorder="1" applyAlignment="1" applyProtection="1">
      <alignment horizontal="center" vertical="center"/>
    </xf>
    <xf numFmtId="0" fontId="9" fillId="16" borderId="9" xfId="67" applyFont="1" applyFill="1" applyBorder="1" applyAlignment="1" applyProtection="1">
      <alignment horizontal="center" vertical="center"/>
    </xf>
    <xf numFmtId="0" fontId="9" fillId="16" borderId="15" xfId="67" applyFont="1" applyFill="1" applyBorder="1" applyAlignment="1" applyProtection="1">
      <alignment horizontal="center" vertical="center"/>
    </xf>
    <xf numFmtId="1" fontId="9" fillId="16" borderId="19" xfId="56" applyNumberFormat="1" applyFont="1" applyFill="1" applyBorder="1" applyAlignment="1" applyProtection="1">
      <alignment horizontal="center" vertical="center"/>
    </xf>
    <xf numFmtId="1" fontId="9" fillId="16" borderId="27" xfId="56" applyNumberFormat="1" applyFont="1" applyFill="1" applyBorder="1" applyAlignment="1" applyProtection="1">
      <alignment horizontal="center" vertical="center"/>
    </xf>
    <xf numFmtId="1" fontId="9" fillId="16" borderId="57" xfId="56" applyNumberFormat="1" applyFont="1" applyFill="1" applyBorder="1" applyAlignment="1" applyProtection="1">
      <alignment horizontal="center" vertical="center"/>
    </xf>
    <xf numFmtId="0" fontId="10" fillId="0" borderId="135" xfId="67" applyFont="1" applyFill="1" applyBorder="1" applyAlignment="1" applyProtection="1">
      <alignment horizontal="center" wrapText="1"/>
      <protection locked="0"/>
    </xf>
    <xf numFmtId="0" fontId="10" fillId="0" borderId="22" xfId="67" applyFont="1" applyFill="1" applyBorder="1" applyAlignment="1" applyProtection="1">
      <alignment horizontal="center" wrapText="1"/>
      <protection locked="0"/>
    </xf>
    <xf numFmtId="0" fontId="10" fillId="0" borderId="34" xfId="67" applyFont="1" applyFill="1" applyBorder="1" applyAlignment="1" applyProtection="1">
      <alignment horizontal="center" wrapText="1"/>
      <protection locked="0"/>
    </xf>
    <xf numFmtId="0" fontId="10" fillId="0" borderId="37" xfId="67" applyFont="1" applyFill="1" applyBorder="1" applyAlignment="1" applyProtection="1">
      <alignment horizontal="center" wrapText="1"/>
      <protection locked="0"/>
    </xf>
    <xf numFmtId="0" fontId="10" fillId="0" borderId="141" xfId="67" applyFont="1" applyFill="1" applyBorder="1" applyAlignment="1" applyProtection="1">
      <alignment horizontal="center" wrapText="1"/>
      <protection locked="0"/>
    </xf>
    <xf numFmtId="0" fontId="9" fillId="0" borderId="1" xfId="67" applyFont="1" applyBorder="1" applyAlignment="1" applyProtection="1">
      <alignment horizontal="center" wrapText="1"/>
      <protection locked="0"/>
    </xf>
    <xf numFmtId="0" fontId="9" fillId="16" borderId="50" xfId="67" applyFont="1" applyFill="1" applyBorder="1" applyAlignment="1" applyProtection="1">
      <alignment horizontal="center"/>
    </xf>
    <xf numFmtId="0" fontId="9" fillId="16" borderId="1" xfId="67" applyFont="1" applyFill="1" applyBorder="1" applyAlignment="1" applyProtection="1">
      <alignment horizontal="center"/>
    </xf>
    <xf numFmtId="0" fontId="10" fillId="0" borderId="18" xfId="67" applyFont="1" applyFill="1" applyBorder="1" applyAlignment="1" applyProtection="1">
      <alignment horizontal="center" wrapText="1"/>
      <protection locked="0"/>
    </xf>
    <xf numFmtId="0" fontId="10" fillId="0" borderId="20" xfId="67" applyFont="1" applyFill="1" applyBorder="1" applyAlignment="1" applyProtection="1">
      <alignment horizontal="center" wrapText="1"/>
      <protection locked="0"/>
    </xf>
    <xf numFmtId="0" fontId="10" fillId="0" borderId="137" xfId="67" applyFont="1" applyFill="1" applyBorder="1" applyAlignment="1" applyProtection="1">
      <alignment horizontal="center" wrapText="1"/>
      <protection locked="0"/>
    </xf>
    <xf numFmtId="0" fontId="10" fillId="0" borderId="130" xfId="67" applyFont="1" applyFill="1" applyBorder="1" applyAlignment="1" applyProtection="1">
      <alignment horizontal="center" wrapText="1"/>
      <protection locked="0"/>
    </xf>
    <xf numFmtId="0" fontId="10" fillId="0" borderId="138" xfId="67" applyFont="1" applyFill="1" applyBorder="1" applyAlignment="1" applyProtection="1">
      <alignment horizontal="center" wrapText="1"/>
      <protection locked="0"/>
    </xf>
    <xf numFmtId="0" fontId="10" fillId="0" borderId="101" xfId="67" applyFont="1" applyFill="1" applyBorder="1" applyAlignment="1" applyProtection="1">
      <alignment horizontal="center" wrapText="1"/>
      <protection locked="0"/>
    </xf>
    <xf numFmtId="0" fontId="9" fillId="16" borderId="20" xfId="67" applyFont="1" applyFill="1" applyBorder="1" applyAlignment="1" applyProtection="1">
      <alignment horizontal="center" vertical="center" wrapText="1"/>
    </xf>
    <xf numFmtId="0" fontId="5" fillId="16" borderId="9" xfId="67" applyFont="1" applyFill="1" applyBorder="1" applyAlignment="1" applyProtection="1">
      <alignment horizontal="center" vertical="center" wrapText="1"/>
    </xf>
    <xf numFmtId="0" fontId="5" fillId="16" borderId="15" xfId="67" applyFont="1" applyFill="1" applyBorder="1" applyAlignment="1" applyProtection="1">
      <alignment horizontal="center" vertical="center" wrapText="1"/>
    </xf>
    <xf numFmtId="0" fontId="10" fillId="0" borderId="24" xfId="67" applyFont="1" applyFill="1" applyBorder="1" applyAlignment="1" applyProtection="1">
      <alignment horizontal="center" wrapText="1"/>
      <protection locked="0"/>
    </xf>
    <xf numFmtId="0" fontId="10" fillId="0" borderId="25" xfId="67" applyFont="1" applyFill="1" applyBorder="1" applyAlignment="1" applyProtection="1">
      <alignment horizontal="center" wrapText="1"/>
      <protection locked="0"/>
    </xf>
    <xf numFmtId="0" fontId="10" fillId="0" borderId="114" xfId="67" applyFont="1" applyFill="1" applyBorder="1" applyAlignment="1" applyProtection="1">
      <alignment horizontal="center" wrapText="1"/>
      <protection locked="0"/>
    </xf>
    <xf numFmtId="0" fontId="10" fillId="0" borderId="127" xfId="67" applyFont="1" applyFill="1" applyBorder="1" applyAlignment="1" applyProtection="1">
      <alignment horizontal="center" wrapText="1"/>
      <protection locked="0"/>
    </xf>
    <xf numFmtId="0" fontId="10" fillId="0" borderId="33" xfId="67" applyFont="1" applyFill="1" applyBorder="1" applyAlignment="1" applyProtection="1">
      <alignment horizontal="center" wrapText="1"/>
      <protection locked="0"/>
    </xf>
    <xf numFmtId="0" fontId="10" fillId="0" borderId="35" xfId="67" applyFont="1" applyFill="1" applyBorder="1" applyAlignment="1" applyProtection="1">
      <alignment horizontal="center" wrapText="1"/>
      <protection locked="0"/>
    </xf>
    <xf numFmtId="0" fontId="10" fillId="0" borderId="36" xfId="67" applyFont="1" applyFill="1" applyBorder="1" applyAlignment="1" applyProtection="1">
      <alignment horizontal="center" wrapText="1"/>
      <protection locked="0"/>
    </xf>
    <xf numFmtId="0" fontId="6" fillId="16" borderId="5" xfId="67" applyFont="1" applyFill="1" applyBorder="1" applyAlignment="1" applyProtection="1">
      <alignment horizontal="center"/>
    </xf>
    <xf numFmtId="0" fontId="7" fillId="16" borderId="5" xfId="67" applyFont="1" applyFill="1" applyBorder="1" applyAlignment="1" applyProtection="1">
      <alignment horizontal="center"/>
    </xf>
    <xf numFmtId="3" fontId="9" fillId="16" borderId="8" xfId="67" applyNumberFormat="1" applyFont="1" applyFill="1" applyBorder="1" applyAlignment="1" applyProtection="1">
      <alignment horizontal="center" vertical="center" wrapText="1"/>
    </xf>
    <xf numFmtId="3" fontId="9" fillId="16" borderId="13" xfId="67" applyNumberFormat="1" applyFont="1" applyFill="1" applyBorder="1" applyAlignment="1" applyProtection="1">
      <alignment horizontal="center" vertical="center" wrapText="1"/>
    </xf>
    <xf numFmtId="3" fontId="9" fillId="16" borderId="18" xfId="3" applyNumberFormat="1" applyFont="1" applyFill="1" applyBorder="1" applyAlignment="1" applyProtection="1">
      <alignment horizontal="center" vertical="center" wrapText="1"/>
    </xf>
    <xf numFmtId="3" fontId="9" fillId="16" borderId="17" xfId="3" applyNumberFormat="1" applyFont="1" applyFill="1" applyBorder="1" applyAlignment="1" applyProtection="1">
      <alignment horizontal="center" vertical="center" wrapText="1"/>
    </xf>
    <xf numFmtId="3" fontId="9" fillId="16" borderId="56" xfId="3" applyNumberFormat="1" applyFont="1" applyFill="1" applyBorder="1" applyAlignment="1" applyProtection="1">
      <alignment horizontal="center" vertical="center" wrapText="1"/>
    </xf>
    <xf numFmtId="0" fontId="10" fillId="0" borderId="21" xfId="67" applyFont="1" applyFill="1" applyBorder="1" applyAlignment="1" applyProtection="1">
      <alignment horizontal="center" wrapText="1"/>
      <protection locked="0"/>
    </xf>
    <xf numFmtId="0" fontId="10" fillId="0" borderId="29" xfId="67" applyFont="1" applyFill="1" applyBorder="1" applyAlignment="1" applyProtection="1">
      <alignment horizontal="center" wrapText="1"/>
      <protection locked="0"/>
    </xf>
    <xf numFmtId="0" fontId="10" fillId="0" borderId="103" xfId="67" applyFont="1" applyFill="1" applyBorder="1" applyAlignment="1" applyProtection="1">
      <alignment horizontal="center" wrapText="1"/>
      <protection locked="0"/>
    </xf>
    <xf numFmtId="0" fontId="10" fillId="0" borderId="32" xfId="67" applyFont="1" applyFill="1" applyBorder="1" applyAlignment="1" applyProtection="1">
      <alignment horizontal="center" wrapText="1"/>
      <protection locked="0"/>
    </xf>
    <xf numFmtId="0" fontId="9" fillId="0" borderId="0" xfId="67" applyFont="1" applyFill="1" applyBorder="1" applyAlignment="1" applyProtection="1">
      <alignment horizontal="center" vertical="center" wrapText="1"/>
      <protection locked="0"/>
    </xf>
    <xf numFmtId="0" fontId="9" fillId="0" borderId="9" xfId="67" applyFont="1" applyFill="1" applyBorder="1" applyAlignment="1" applyProtection="1">
      <alignment horizontal="center" vertical="center" wrapText="1"/>
      <protection locked="0"/>
    </xf>
    <xf numFmtId="0" fontId="9" fillId="0" borderId="14" xfId="67" applyFont="1" applyFill="1" applyBorder="1" applyAlignment="1" applyProtection="1">
      <alignment horizontal="center" vertical="center" wrapText="1"/>
      <protection locked="0"/>
    </xf>
    <xf numFmtId="0" fontId="9" fillId="0" borderId="15" xfId="67" applyFont="1" applyFill="1" applyBorder="1" applyAlignment="1" applyProtection="1">
      <alignment horizontal="center" vertical="center" wrapText="1"/>
      <protection locked="0"/>
    </xf>
    <xf numFmtId="0" fontId="9" fillId="16" borderId="19" xfId="67" applyFont="1" applyFill="1" applyBorder="1" applyAlignment="1" applyProtection="1">
      <alignment horizontal="center" vertical="center"/>
    </xf>
    <xf numFmtId="0" fontId="9" fillId="16" borderId="27" xfId="67" applyFont="1" applyFill="1" applyBorder="1" applyAlignment="1" applyProtection="1">
      <alignment horizontal="center" vertical="center"/>
    </xf>
    <xf numFmtId="0" fontId="9" fillId="16" borderId="57" xfId="67" applyFont="1" applyFill="1" applyBorder="1" applyAlignment="1" applyProtection="1">
      <alignment horizontal="center" vertical="center"/>
    </xf>
    <xf numFmtId="3" fontId="9" fillId="16" borderId="19" xfId="3" applyNumberFormat="1" applyFont="1" applyFill="1" applyBorder="1" applyAlignment="1" applyProtection="1">
      <alignment horizontal="center" vertical="center" wrapText="1"/>
    </xf>
    <xf numFmtId="3" fontId="9" fillId="16" borderId="27" xfId="3" applyNumberFormat="1" applyFont="1" applyFill="1" applyBorder="1" applyAlignment="1" applyProtection="1">
      <alignment horizontal="center" vertical="center" wrapText="1"/>
    </xf>
    <xf numFmtId="3" fontId="9" fillId="16" borderId="57" xfId="3" applyNumberFormat="1" applyFont="1" applyFill="1" applyBorder="1" applyAlignment="1" applyProtection="1">
      <alignment horizontal="center" vertical="center" wrapText="1"/>
    </xf>
    <xf numFmtId="0" fontId="9" fillId="0" borderId="18" xfId="67" applyFont="1" applyFill="1" applyBorder="1" applyAlignment="1" applyProtection="1">
      <alignment horizontal="center" vertical="center" wrapText="1"/>
      <protection locked="0"/>
    </xf>
    <xf numFmtId="0" fontId="9" fillId="0" borderId="20" xfId="67" applyFont="1" applyFill="1" applyBorder="1" applyAlignment="1" applyProtection="1">
      <alignment horizontal="center" vertical="center" wrapText="1"/>
      <protection locked="0"/>
    </xf>
    <xf numFmtId="0" fontId="10" fillId="0" borderId="4" xfId="67" applyFont="1" applyFill="1" applyBorder="1" applyAlignment="1" applyProtection="1">
      <alignment horizontal="center" wrapText="1"/>
      <protection locked="0"/>
    </xf>
    <xf numFmtId="0" fontId="10" fillId="0" borderId="1" xfId="67" applyFont="1" applyFill="1" applyBorder="1" applyAlignment="1" applyProtection="1">
      <alignment horizontal="center" wrapText="1"/>
      <protection locked="0"/>
    </xf>
    <xf numFmtId="0" fontId="10" fillId="0" borderId="14" xfId="67" applyFont="1" applyFill="1" applyBorder="1" applyAlignment="1" applyProtection="1">
      <alignment horizontal="center" wrapText="1"/>
      <protection locked="0"/>
    </xf>
    <xf numFmtId="0" fontId="10" fillId="0" borderId="15" xfId="67" applyFont="1" applyFill="1" applyBorder="1" applyAlignment="1" applyProtection="1">
      <alignment horizontal="center" wrapText="1"/>
      <protection locked="0"/>
    </xf>
    <xf numFmtId="0" fontId="5" fillId="0" borderId="0" xfId="67" applyFont="1" applyAlignment="1" applyProtection="1">
      <alignment horizontal="center"/>
      <protection locked="0"/>
    </xf>
    <xf numFmtId="0" fontId="9" fillId="16" borderId="56" xfId="67" applyFont="1" applyFill="1" applyBorder="1" applyAlignment="1" applyProtection="1">
      <alignment horizontal="center"/>
    </xf>
    <xf numFmtId="0" fontId="9" fillId="16" borderId="14" xfId="67" applyFont="1" applyFill="1" applyBorder="1" applyAlignment="1" applyProtection="1">
      <alignment horizontal="center"/>
    </xf>
    <xf numFmtId="0" fontId="10" fillId="0" borderId="116" xfId="67" applyFont="1" applyFill="1" applyBorder="1" applyAlignment="1" applyProtection="1">
      <alignment horizontal="center" wrapText="1"/>
      <protection locked="0"/>
    </xf>
    <xf numFmtId="0" fontId="10" fillId="0" borderId="129" xfId="67" applyFont="1" applyFill="1" applyBorder="1" applyAlignment="1" applyProtection="1">
      <alignment horizontal="center" wrapText="1"/>
      <protection locked="0"/>
    </xf>
    <xf numFmtId="0" fontId="11" fillId="0" borderId="114" xfId="67" applyFont="1" applyFill="1" applyBorder="1" applyAlignment="1" applyProtection="1">
      <alignment horizontal="center" wrapText="1"/>
      <protection locked="0"/>
    </xf>
    <xf numFmtId="0" fontId="11" fillId="0" borderId="127" xfId="67" applyFont="1" applyFill="1" applyBorder="1" applyAlignment="1" applyProtection="1">
      <alignment horizontal="center" wrapText="1"/>
      <protection locked="0"/>
    </xf>
    <xf numFmtId="0" fontId="10" fillId="0" borderId="131" xfId="67" applyFont="1" applyFill="1" applyBorder="1" applyAlignment="1" applyProtection="1">
      <alignment horizontal="center" wrapText="1"/>
      <protection locked="0"/>
    </xf>
    <xf numFmtId="0" fontId="11" fillId="0" borderId="130" xfId="67" applyFont="1" applyFill="1" applyBorder="1" applyAlignment="1" applyProtection="1">
      <alignment horizontal="center" wrapText="1"/>
      <protection locked="0"/>
    </xf>
    <xf numFmtId="0" fontId="11" fillId="0" borderId="131" xfId="67" applyFont="1" applyFill="1" applyBorder="1" applyAlignment="1" applyProtection="1">
      <alignment horizontal="center" wrapText="1"/>
      <protection locked="0"/>
    </xf>
    <xf numFmtId="0" fontId="10" fillId="0" borderId="51" xfId="67" applyFont="1" applyFill="1" applyBorder="1" applyAlignment="1" applyProtection="1">
      <alignment horizontal="center" wrapText="1"/>
      <protection locked="0"/>
    </xf>
    <xf numFmtId="0" fontId="9" fillId="0" borderId="18" xfId="68" applyFont="1" applyFill="1" applyBorder="1" applyAlignment="1" applyProtection="1">
      <alignment horizontal="left" vertical="top"/>
      <protection locked="0"/>
    </xf>
    <xf numFmtId="0" fontId="9" fillId="0" borderId="78" xfId="68" applyFont="1" applyFill="1" applyBorder="1" applyAlignment="1" applyProtection="1">
      <alignment horizontal="left" vertical="top"/>
      <protection locked="0"/>
    </xf>
    <xf numFmtId="0" fontId="9" fillId="0" borderId="17" xfId="68" applyFont="1" applyFill="1" applyBorder="1" applyAlignment="1" applyProtection="1">
      <alignment horizontal="left" vertical="top"/>
      <protection locked="0"/>
    </xf>
    <xf numFmtId="0" fontId="9" fillId="0" borderId="0" xfId="68" applyFont="1" applyFill="1" applyBorder="1" applyAlignment="1" applyProtection="1">
      <alignment horizontal="left" vertical="top"/>
      <protection locked="0"/>
    </xf>
    <xf numFmtId="0" fontId="5" fillId="16" borderId="58" xfId="68" applyFont="1" applyFill="1" applyBorder="1" applyAlignment="1" applyProtection="1">
      <alignment horizontal="left"/>
    </xf>
    <xf numFmtId="0" fontId="5" fillId="16" borderId="59" xfId="68" applyFont="1" applyFill="1" applyBorder="1" applyAlignment="1" applyProtection="1">
      <alignment horizontal="left"/>
    </xf>
    <xf numFmtId="0" fontId="5" fillId="16" borderId="64" xfId="68" applyFont="1" applyFill="1" applyBorder="1" applyAlignment="1" applyProtection="1">
      <alignment horizontal="left"/>
    </xf>
    <xf numFmtId="0" fontId="5" fillId="16" borderId="65" xfId="68" applyFont="1" applyFill="1" applyBorder="1" applyAlignment="1" applyProtection="1">
      <alignment horizontal="left"/>
    </xf>
    <xf numFmtId="0" fontId="5" fillId="16" borderId="70" xfId="68" applyFont="1" applyFill="1" applyBorder="1" applyAlignment="1" applyProtection="1">
      <alignment horizontal="left"/>
    </xf>
    <xf numFmtId="0" fontId="5" fillId="16" borderId="71" xfId="68" applyFont="1" applyFill="1" applyBorder="1" applyAlignment="1" applyProtection="1">
      <alignment horizontal="left"/>
    </xf>
    <xf numFmtId="0" fontId="9" fillId="0" borderId="17" xfId="68" applyFont="1" applyFill="1" applyBorder="1" applyAlignment="1" applyProtection="1">
      <alignment vertical="top"/>
      <protection locked="0"/>
    </xf>
    <xf numFmtId="0" fontId="9" fillId="0" borderId="0" xfId="68" applyFont="1" applyFill="1" applyBorder="1" applyAlignment="1" applyProtection="1">
      <alignment vertical="top"/>
      <protection locked="0"/>
    </xf>
    <xf numFmtId="0" fontId="10" fillId="0" borderId="31" xfId="68" applyFont="1" applyFill="1" applyBorder="1" applyAlignment="1" applyProtection="1">
      <alignment horizontal="center" wrapText="1"/>
      <protection locked="0"/>
    </xf>
    <xf numFmtId="0" fontId="10" fillId="0" borderId="32" xfId="68" applyFont="1" applyFill="1" applyBorder="1" applyAlignment="1" applyProtection="1">
      <alignment horizontal="center" wrapText="1"/>
      <protection locked="0"/>
    </xf>
    <xf numFmtId="0" fontId="9" fillId="16" borderId="3" xfId="68" applyFont="1" applyFill="1" applyBorder="1" applyAlignment="1" applyProtection="1">
      <alignment horizontal="center"/>
    </xf>
    <xf numFmtId="0" fontId="9" fillId="16" borderId="4" xfId="68" applyFont="1" applyFill="1" applyBorder="1" applyAlignment="1" applyProtection="1">
      <alignment horizontal="center"/>
    </xf>
    <xf numFmtId="0" fontId="10" fillId="0" borderId="125" xfId="67" applyFont="1" applyFill="1" applyBorder="1" applyAlignment="1" applyProtection="1">
      <alignment horizontal="center" wrapText="1"/>
      <protection locked="0"/>
    </xf>
    <xf numFmtId="0" fontId="10" fillId="0" borderId="126" xfId="67" applyFont="1" applyFill="1" applyBorder="1" applyAlignment="1" applyProtection="1">
      <alignment horizontal="center" wrapText="1"/>
      <protection locked="0"/>
    </xf>
    <xf numFmtId="0" fontId="10" fillId="0" borderId="24" xfId="68" applyFont="1" applyFill="1" applyBorder="1" applyAlignment="1" applyProtection="1">
      <alignment horizontal="center" wrapText="1"/>
      <protection locked="0"/>
    </xf>
    <xf numFmtId="0" fontId="10" fillId="0" borderId="114" xfId="68" applyFont="1" applyFill="1" applyBorder="1" applyAlignment="1" applyProtection="1">
      <alignment horizontal="center" wrapText="1"/>
      <protection locked="0"/>
    </xf>
    <xf numFmtId="0" fontId="10" fillId="0" borderId="28" xfId="68" applyFont="1" applyFill="1" applyBorder="1" applyAlignment="1" applyProtection="1">
      <alignment horizontal="center" wrapText="1"/>
      <protection locked="0"/>
    </xf>
    <xf numFmtId="0" fontId="9" fillId="16" borderId="19" xfId="68" applyFont="1" applyFill="1" applyBorder="1" applyAlignment="1" applyProtection="1">
      <alignment horizontal="center" vertical="center"/>
    </xf>
    <xf numFmtId="0" fontId="9" fillId="16" borderId="27" xfId="68" applyFont="1" applyFill="1" applyBorder="1" applyAlignment="1" applyProtection="1">
      <alignment horizontal="center" vertical="center"/>
    </xf>
    <xf numFmtId="0" fontId="9" fillId="16" borderId="57" xfId="68" applyFont="1" applyFill="1" applyBorder="1" applyAlignment="1" applyProtection="1">
      <alignment horizontal="center" vertical="center"/>
    </xf>
    <xf numFmtId="0" fontId="9" fillId="16" borderId="19" xfId="68" applyFont="1" applyFill="1" applyBorder="1" applyAlignment="1" applyProtection="1">
      <alignment horizontal="center" vertical="center" wrapText="1"/>
    </xf>
    <xf numFmtId="0" fontId="9" fillId="16" borderId="27" xfId="68" applyFont="1" applyFill="1" applyBorder="1" applyAlignment="1" applyProtection="1">
      <alignment horizontal="center" vertical="center" wrapText="1"/>
    </xf>
    <xf numFmtId="0" fontId="9" fillId="16" borderId="20" xfId="68" applyFont="1" applyFill="1" applyBorder="1" applyAlignment="1" applyProtection="1">
      <alignment horizontal="center" vertical="center" wrapText="1"/>
    </xf>
    <xf numFmtId="0" fontId="5" fillId="16" borderId="9" xfId="68" applyFont="1" applyFill="1" applyBorder="1" applyAlignment="1" applyProtection="1">
      <alignment horizontal="center" vertical="center" wrapText="1"/>
    </xf>
    <xf numFmtId="0" fontId="9" fillId="16" borderId="20" xfId="68" applyFont="1" applyFill="1" applyBorder="1" applyAlignment="1" applyProtection="1">
      <alignment horizontal="center" vertical="center"/>
    </xf>
    <xf numFmtId="0" fontId="9" fillId="16" borderId="9" xfId="68" applyFont="1" applyFill="1" applyBorder="1" applyAlignment="1" applyProtection="1">
      <alignment horizontal="center" vertical="center"/>
    </xf>
    <xf numFmtId="1" fontId="9" fillId="16" borderId="18" xfId="56" applyNumberFormat="1" applyFont="1" applyFill="1" applyBorder="1" applyAlignment="1" applyProtection="1">
      <alignment horizontal="center" vertical="center"/>
    </xf>
    <xf numFmtId="1" fontId="9" fillId="16" borderId="17" xfId="56" applyNumberFormat="1" applyFont="1" applyFill="1" applyBorder="1" applyAlignment="1" applyProtection="1">
      <alignment horizontal="center" vertical="center"/>
    </xf>
    <xf numFmtId="0" fontId="9" fillId="0" borderId="0" xfId="68" applyFont="1" applyFill="1" applyBorder="1" applyAlignment="1" applyProtection="1">
      <alignment horizontal="center" vertical="center" wrapText="1"/>
      <protection locked="0"/>
    </xf>
    <xf numFmtId="0" fontId="9" fillId="0" borderId="9" xfId="68" applyFont="1" applyFill="1" applyBorder="1" applyAlignment="1" applyProtection="1">
      <alignment horizontal="center" vertical="center" wrapText="1"/>
      <protection locked="0"/>
    </xf>
    <xf numFmtId="0" fontId="9" fillId="0" borderId="14" xfId="68" applyFont="1" applyFill="1" applyBorder="1" applyAlignment="1" applyProtection="1">
      <alignment horizontal="center" vertical="center" wrapText="1"/>
      <protection locked="0"/>
    </xf>
    <xf numFmtId="0" fontId="9" fillId="0" borderId="15" xfId="68" applyFont="1" applyFill="1" applyBorder="1" applyAlignment="1" applyProtection="1">
      <alignment horizontal="center" vertical="center" wrapText="1"/>
      <protection locked="0"/>
    </xf>
    <xf numFmtId="0" fontId="6" fillId="16" borderId="3" xfId="68" applyFont="1" applyFill="1" applyBorder="1" applyAlignment="1" applyProtection="1">
      <alignment horizontal="center"/>
    </xf>
    <xf numFmtId="0" fontId="6" fillId="16" borderId="4" xfId="68" applyFont="1" applyFill="1" applyBorder="1" applyAlignment="1" applyProtection="1">
      <alignment horizontal="center"/>
    </xf>
    <xf numFmtId="0" fontId="7" fillId="16" borderId="3" xfId="68" applyFont="1" applyFill="1" applyBorder="1" applyAlignment="1" applyProtection="1">
      <alignment horizontal="center"/>
    </xf>
    <xf numFmtId="0" fontId="7" fillId="16" borderId="4" xfId="68" applyFont="1" applyFill="1" applyBorder="1" applyAlignment="1" applyProtection="1">
      <alignment horizontal="center"/>
    </xf>
    <xf numFmtId="0" fontId="9" fillId="16" borderId="8" xfId="68" applyFont="1" applyFill="1" applyBorder="1" applyAlignment="1" applyProtection="1">
      <alignment horizontal="center" vertical="center" wrapText="1"/>
    </xf>
    <xf numFmtId="0" fontId="9" fillId="16" borderId="13" xfId="68" applyFont="1" applyFill="1" applyBorder="1" applyAlignment="1" applyProtection="1">
      <alignment horizontal="center" vertical="center" wrapText="1"/>
    </xf>
    <xf numFmtId="0" fontId="9" fillId="0" borderId="1" xfId="67" applyFont="1" applyFill="1" applyBorder="1" applyAlignment="1" applyProtection="1">
      <alignment horizontal="left" vertical="top"/>
      <protection locked="0"/>
    </xf>
    <xf numFmtId="0" fontId="10" fillId="0" borderId="3" xfId="67" applyFont="1" applyFill="1" applyBorder="1" applyAlignment="1" applyProtection="1">
      <alignment horizontal="center" wrapText="1"/>
      <protection locked="0"/>
    </xf>
    <xf numFmtId="0" fontId="10" fillId="0" borderId="5" xfId="67" applyFont="1" applyFill="1" applyBorder="1" applyAlignment="1" applyProtection="1">
      <alignment horizontal="center" wrapText="1"/>
      <protection locked="0"/>
    </xf>
    <xf numFmtId="0" fontId="10" fillId="0" borderId="118" xfId="67" applyFont="1" applyFill="1" applyBorder="1" applyAlignment="1" applyProtection="1">
      <alignment horizontal="center" wrapText="1"/>
      <protection locked="0"/>
    </xf>
    <xf numFmtId="0" fontId="10" fillId="0" borderId="128" xfId="67" applyFont="1" applyFill="1" applyBorder="1" applyAlignment="1" applyProtection="1">
      <alignment horizontal="center" wrapText="1"/>
      <protection locked="0"/>
    </xf>
    <xf numFmtId="0" fontId="65" fillId="23" borderId="3" xfId="65" applyFont="1" applyFill="1" applyBorder="1" applyAlignment="1">
      <alignment vertical="center" wrapText="1"/>
    </xf>
    <xf numFmtId="0" fontId="65" fillId="23" borderId="4" xfId="65" applyFont="1" applyFill="1" applyBorder="1" applyAlignment="1">
      <alignment vertical="center" wrapText="1"/>
    </xf>
    <xf numFmtId="0" fontId="65" fillId="23" borderId="5" xfId="65" applyFont="1" applyFill="1" applyBorder="1" applyAlignment="1">
      <alignment vertical="center" wrapText="1"/>
    </xf>
    <xf numFmtId="0" fontId="9" fillId="0" borderId="18" xfId="2" applyFont="1" applyFill="1" applyBorder="1" applyAlignment="1" applyProtection="1">
      <alignment horizontal="left" vertical="top"/>
      <protection locked="0"/>
    </xf>
    <xf numFmtId="0" fontId="9" fillId="0" borderId="78" xfId="2" applyFont="1" applyFill="1" applyBorder="1" applyAlignment="1" applyProtection="1">
      <alignment horizontal="left" vertical="top"/>
      <protection locked="0"/>
    </xf>
    <xf numFmtId="0" fontId="9" fillId="0" borderId="17" xfId="2" applyFont="1" applyFill="1" applyBorder="1" applyAlignment="1" applyProtection="1">
      <alignment horizontal="left" vertical="top"/>
      <protection locked="0"/>
    </xf>
    <xf numFmtId="0" fontId="9" fillId="0" borderId="0" xfId="2" applyFont="1" applyFill="1" applyBorder="1" applyAlignment="1" applyProtection="1">
      <alignment horizontal="left" vertical="top"/>
      <protection locked="0"/>
    </xf>
    <xf numFmtId="0" fontId="5" fillId="16" borderId="58" xfId="2" applyFont="1" applyFill="1" applyBorder="1" applyAlignment="1" applyProtection="1">
      <alignment horizontal="left"/>
    </xf>
    <xf numFmtId="0" fontId="5" fillId="16" borderId="59" xfId="2" applyFont="1" applyFill="1" applyBorder="1" applyAlignment="1" applyProtection="1">
      <alignment horizontal="left"/>
    </xf>
    <xf numFmtId="0" fontId="5" fillId="16" borderId="64" xfId="2" applyFont="1" applyFill="1" applyBorder="1" applyAlignment="1" applyProtection="1">
      <alignment horizontal="left"/>
    </xf>
    <xf numFmtId="0" fontId="5" fillId="16" borderId="65" xfId="2" applyFont="1" applyFill="1" applyBorder="1" applyAlignment="1" applyProtection="1">
      <alignment horizontal="left"/>
    </xf>
    <xf numFmtId="0" fontId="5" fillId="16" borderId="70" xfId="2" applyFont="1" applyFill="1" applyBorder="1" applyAlignment="1" applyProtection="1">
      <alignment horizontal="left"/>
    </xf>
    <xf numFmtId="0" fontId="5" fillId="16" borderId="71" xfId="2" applyFont="1" applyFill="1" applyBorder="1" applyAlignment="1" applyProtection="1">
      <alignment horizontal="left"/>
    </xf>
    <xf numFmtId="0" fontId="9" fillId="0" borderId="17" xfId="2" applyFont="1" applyFill="1" applyBorder="1" applyAlignment="1" applyProtection="1">
      <alignment vertical="top"/>
      <protection locked="0"/>
    </xf>
    <xf numFmtId="0" fontId="9" fillId="0" borderId="0" xfId="2" applyFont="1" applyFill="1" applyBorder="1" applyAlignment="1" applyProtection="1">
      <alignment vertical="top"/>
      <protection locked="0"/>
    </xf>
    <xf numFmtId="0" fontId="10" fillId="0" borderId="31" xfId="2" applyFont="1" applyFill="1" applyBorder="1" applyAlignment="1" applyProtection="1">
      <alignment horizontal="center" wrapText="1"/>
      <protection locked="0"/>
    </xf>
    <xf numFmtId="0" fontId="10" fillId="0" borderId="32" xfId="2" applyFont="1" applyFill="1" applyBorder="1" applyAlignment="1" applyProtection="1">
      <alignment horizontal="center" wrapText="1"/>
      <protection locked="0"/>
    </xf>
    <xf numFmtId="0" fontId="9" fillId="16" borderId="3" xfId="2" applyFont="1" applyFill="1" applyBorder="1" applyAlignment="1" applyProtection="1">
      <alignment horizontal="center"/>
    </xf>
    <xf numFmtId="0" fontId="9" fillId="16" borderId="4" xfId="2" applyFont="1" applyFill="1" applyBorder="1" applyAlignment="1" applyProtection="1">
      <alignment horizontal="center"/>
    </xf>
    <xf numFmtId="0" fontId="10" fillId="0" borderId="24" xfId="2" applyFont="1" applyFill="1" applyBorder="1" applyAlignment="1" applyProtection="1">
      <alignment horizontal="center" wrapText="1"/>
      <protection locked="0"/>
    </xf>
    <xf numFmtId="0" fontId="10" fillId="0" borderId="114" xfId="2" applyFont="1" applyFill="1" applyBorder="1" applyAlignment="1" applyProtection="1">
      <alignment horizontal="center" wrapText="1"/>
      <protection locked="0"/>
    </xf>
    <xf numFmtId="0" fontId="10" fillId="0" borderId="28" xfId="2" applyFont="1" applyFill="1" applyBorder="1" applyAlignment="1" applyProtection="1">
      <alignment horizontal="center" wrapText="1"/>
      <protection locked="0"/>
    </xf>
    <xf numFmtId="0" fontId="6" fillId="16" borderId="3" xfId="2" applyFont="1" applyFill="1" applyBorder="1" applyAlignment="1" applyProtection="1">
      <alignment horizontal="center"/>
    </xf>
    <xf numFmtId="0" fontId="6" fillId="16" borderId="4" xfId="2" applyFont="1" applyFill="1" applyBorder="1" applyAlignment="1" applyProtection="1">
      <alignment horizontal="center"/>
    </xf>
    <xf numFmtId="0" fontId="7" fillId="16" borderId="3" xfId="2" applyFont="1" applyFill="1" applyBorder="1" applyAlignment="1" applyProtection="1">
      <alignment horizontal="center"/>
    </xf>
    <xf numFmtId="0" fontId="7" fillId="16" borderId="4" xfId="2" applyFont="1" applyFill="1" applyBorder="1" applyAlignment="1" applyProtection="1">
      <alignment horizontal="center"/>
    </xf>
    <xf numFmtId="0" fontId="9" fillId="16" borderId="8" xfId="2" applyFont="1" applyFill="1" applyBorder="1" applyAlignment="1" applyProtection="1">
      <alignment horizontal="center" vertical="center" wrapText="1"/>
    </xf>
    <xf numFmtId="0" fontId="9" fillId="16" borderId="13" xfId="2" applyFont="1" applyFill="1" applyBorder="1" applyAlignment="1" applyProtection="1">
      <alignment horizontal="center" vertical="center" wrapText="1"/>
    </xf>
    <xf numFmtId="0" fontId="9" fillId="0" borderId="0" xfId="2" applyFont="1" applyFill="1" applyBorder="1" applyAlignment="1" applyProtection="1">
      <alignment horizontal="center" vertical="center" wrapText="1"/>
      <protection locked="0"/>
    </xf>
    <xf numFmtId="0" fontId="9" fillId="0" borderId="9" xfId="2" applyFont="1" applyFill="1" applyBorder="1" applyAlignment="1" applyProtection="1">
      <alignment horizontal="center" vertical="center" wrapText="1"/>
      <protection locked="0"/>
    </xf>
    <xf numFmtId="0" fontId="9" fillId="0" borderId="14" xfId="2" applyFont="1" applyFill="1" applyBorder="1" applyAlignment="1" applyProtection="1">
      <alignment horizontal="center" vertical="center" wrapText="1"/>
      <protection locked="0"/>
    </xf>
    <xf numFmtId="0" fontId="9" fillId="0" borderId="15" xfId="2" applyFont="1" applyFill="1" applyBorder="1" applyAlignment="1" applyProtection="1">
      <alignment horizontal="center" vertical="center" wrapText="1"/>
      <protection locked="0"/>
    </xf>
    <xf numFmtId="0" fontId="9" fillId="16" borderId="19" xfId="2" applyFont="1" applyFill="1" applyBorder="1" applyAlignment="1" applyProtection="1">
      <alignment horizontal="center" vertical="center"/>
    </xf>
    <xf numFmtId="0" fontId="9" fillId="16" borderId="27" xfId="2" applyFont="1" applyFill="1" applyBorder="1" applyAlignment="1" applyProtection="1">
      <alignment horizontal="center" vertical="center"/>
    </xf>
    <xf numFmtId="0" fontId="9" fillId="16" borderId="57" xfId="2" applyFont="1" applyFill="1" applyBorder="1" applyAlignment="1" applyProtection="1">
      <alignment horizontal="center" vertical="center"/>
    </xf>
    <xf numFmtId="0" fontId="9" fillId="16" borderId="19" xfId="2" applyFont="1" applyFill="1" applyBorder="1" applyAlignment="1" applyProtection="1">
      <alignment horizontal="center" vertical="center" wrapText="1"/>
    </xf>
    <xf numFmtId="0" fontId="9" fillId="16" borderId="27" xfId="2" applyFont="1" applyFill="1" applyBorder="1" applyAlignment="1" applyProtection="1">
      <alignment horizontal="center" vertical="center" wrapText="1"/>
    </xf>
    <xf numFmtId="0" fontId="9" fillId="16" borderId="20" xfId="2" applyFont="1" applyFill="1" applyBorder="1" applyAlignment="1" applyProtection="1">
      <alignment horizontal="center" vertical="center" wrapText="1"/>
    </xf>
    <xf numFmtId="0" fontId="5" fillId="16" borderId="9" xfId="2" applyFont="1" applyFill="1" applyBorder="1" applyAlignment="1" applyProtection="1">
      <alignment horizontal="center" vertical="center" wrapText="1"/>
    </xf>
    <xf numFmtId="0" fontId="9" fillId="16" borderId="20" xfId="2" applyFont="1" applyFill="1" applyBorder="1" applyAlignment="1" applyProtection="1">
      <alignment horizontal="center" vertical="center"/>
    </xf>
    <xf numFmtId="0" fontId="9" fillId="16" borderId="9" xfId="2" applyFont="1" applyFill="1" applyBorder="1" applyAlignment="1" applyProtection="1">
      <alignment horizontal="center" vertical="center"/>
    </xf>
    <xf numFmtId="0" fontId="5" fillId="16" borderId="64" xfId="66" applyFont="1" applyFill="1" applyBorder="1" applyAlignment="1" applyProtection="1">
      <alignment horizontal="left"/>
    </xf>
    <xf numFmtId="0" fontId="5" fillId="16" borderId="65" xfId="66" applyFont="1" applyFill="1" applyBorder="1" applyAlignment="1" applyProtection="1">
      <alignment horizontal="left"/>
    </xf>
    <xf numFmtId="0" fontId="5" fillId="16" borderId="70" xfId="66" applyFont="1" applyFill="1" applyBorder="1" applyAlignment="1" applyProtection="1">
      <alignment horizontal="left"/>
    </xf>
    <xf numFmtId="0" fontId="5" fillId="16" borderId="71" xfId="66" applyFont="1" applyFill="1" applyBorder="1" applyAlignment="1" applyProtection="1">
      <alignment horizontal="left"/>
    </xf>
    <xf numFmtId="0" fontId="9" fillId="0" borderId="17" xfId="66" applyFont="1" applyFill="1" applyBorder="1" applyAlignment="1" applyProtection="1">
      <alignment vertical="top"/>
      <protection locked="0"/>
    </xf>
    <xf numFmtId="0" fontId="9" fillId="0" borderId="0" xfId="66" applyFont="1" applyFill="1" applyBorder="1" applyAlignment="1" applyProtection="1">
      <alignment vertical="top"/>
      <protection locked="0"/>
    </xf>
    <xf numFmtId="0" fontId="9" fillId="0" borderId="9" xfId="66" applyFont="1" applyFill="1" applyBorder="1" applyAlignment="1" applyProtection="1">
      <alignment vertical="top"/>
      <protection locked="0"/>
    </xf>
    <xf numFmtId="0" fontId="9" fillId="0" borderId="17" xfId="66" applyFont="1" applyFill="1" applyBorder="1" applyAlignment="1" applyProtection="1">
      <alignment horizontal="left" vertical="top"/>
      <protection locked="0"/>
    </xf>
    <xf numFmtId="0" fontId="9" fillId="0" borderId="0" xfId="66" applyFont="1" applyFill="1" applyBorder="1" applyAlignment="1" applyProtection="1">
      <alignment horizontal="left" vertical="top"/>
      <protection locked="0"/>
    </xf>
    <xf numFmtId="0" fontId="9" fillId="0" borderId="9" xfId="66" applyFont="1" applyFill="1" applyBorder="1" applyAlignment="1" applyProtection="1">
      <alignment horizontal="left" vertical="top"/>
      <protection locked="0"/>
    </xf>
    <xf numFmtId="0" fontId="9" fillId="0" borderId="18" xfId="66" applyFont="1" applyFill="1" applyBorder="1" applyAlignment="1" applyProtection="1">
      <alignment horizontal="left" vertical="top"/>
      <protection locked="0"/>
    </xf>
    <xf numFmtId="0" fontId="9" fillId="0" borderId="78" xfId="66" applyFont="1" applyFill="1" applyBorder="1" applyAlignment="1" applyProtection="1">
      <alignment horizontal="left" vertical="top"/>
      <protection locked="0"/>
    </xf>
    <xf numFmtId="0" fontId="9" fillId="0" borderId="20" xfId="66" applyFont="1" applyFill="1" applyBorder="1" applyAlignment="1" applyProtection="1">
      <alignment horizontal="left" vertical="top"/>
      <protection locked="0"/>
    </xf>
    <xf numFmtId="0" fontId="9" fillId="0" borderId="56" xfId="66" applyFont="1" applyFill="1" applyBorder="1" applyAlignment="1" applyProtection="1">
      <alignment horizontal="left" vertical="top"/>
      <protection locked="0"/>
    </xf>
    <xf numFmtId="0" fontId="9" fillId="0" borderId="14" xfId="66" applyFont="1" applyFill="1" applyBorder="1" applyAlignment="1" applyProtection="1">
      <alignment horizontal="left" vertical="top"/>
      <protection locked="0"/>
    </xf>
    <xf numFmtId="0" fontId="9" fillId="0" borderId="15" xfId="66" applyFont="1" applyFill="1" applyBorder="1" applyAlignment="1" applyProtection="1">
      <alignment horizontal="left" vertical="top"/>
      <protection locked="0"/>
    </xf>
    <xf numFmtId="0" fontId="10" fillId="0" borderId="23" xfId="66" applyFont="1" applyFill="1" applyBorder="1" applyAlignment="1" applyProtection="1">
      <alignment horizontal="center" wrapText="1"/>
      <protection locked="0"/>
    </xf>
    <xf numFmtId="0" fontId="10" fillId="0" borderId="26" xfId="66" applyFont="1" applyFill="1" applyBorder="1" applyAlignment="1" applyProtection="1">
      <alignment horizontal="center" wrapText="1"/>
      <protection locked="0"/>
    </xf>
    <xf numFmtId="0" fontId="10" fillId="0" borderId="28" xfId="66" applyFont="1" applyFill="1" applyBorder="1" applyAlignment="1" applyProtection="1">
      <alignment horizontal="center" wrapText="1"/>
      <protection locked="0"/>
    </xf>
    <xf numFmtId="0" fontId="10" fillId="0" borderId="17" xfId="66" applyFont="1" applyFill="1" applyBorder="1" applyAlignment="1" applyProtection="1">
      <alignment horizontal="center" wrapText="1"/>
      <protection locked="0"/>
    </xf>
    <xf numFmtId="0" fontId="10" fillId="0" borderId="30" xfId="66" applyFont="1" applyFill="1" applyBorder="1" applyAlignment="1" applyProtection="1">
      <alignment horizontal="center" wrapText="1"/>
      <protection locked="0"/>
    </xf>
    <xf numFmtId="0" fontId="10" fillId="0" borderId="33" xfId="66" applyFont="1" applyFill="1" applyBorder="1" applyAlignment="1" applyProtection="1">
      <alignment horizontal="center" wrapText="1"/>
      <protection locked="0"/>
    </xf>
    <xf numFmtId="0" fontId="10" fillId="0" borderId="22" xfId="66" applyFont="1" applyFill="1" applyBorder="1" applyAlignment="1" applyProtection="1">
      <alignment horizontal="center" wrapText="1"/>
      <protection locked="0"/>
    </xf>
    <xf numFmtId="0" fontId="10" fillId="0" borderId="96" xfId="66" applyFont="1" applyFill="1" applyBorder="1" applyAlignment="1" applyProtection="1">
      <alignment horizontal="center" wrapText="1"/>
      <protection locked="0"/>
    </xf>
    <xf numFmtId="0" fontId="10" fillId="0" borderId="97" xfId="66" applyFont="1" applyFill="1" applyBorder="1" applyAlignment="1" applyProtection="1">
      <alignment horizontal="center" wrapText="1"/>
      <protection locked="0"/>
    </xf>
    <xf numFmtId="0" fontId="9" fillId="16" borderId="3" xfId="66" applyFont="1" applyFill="1" applyBorder="1" applyAlignment="1" applyProtection="1">
      <alignment horizontal="center"/>
    </xf>
    <xf numFmtId="0" fontId="9" fillId="16" borderId="4" xfId="66" applyFont="1" applyFill="1" applyBorder="1" applyAlignment="1" applyProtection="1">
      <alignment horizontal="center"/>
    </xf>
    <xf numFmtId="0" fontId="9" fillId="16" borderId="5" xfId="66" applyFont="1" applyFill="1" applyBorder="1" applyAlignment="1" applyProtection="1">
      <alignment horizontal="center"/>
    </xf>
    <xf numFmtId="0" fontId="5" fillId="16" borderId="58" xfId="66" applyFont="1" applyFill="1" applyBorder="1" applyAlignment="1" applyProtection="1">
      <alignment horizontal="left"/>
    </xf>
    <xf numFmtId="0" fontId="5" fillId="16" borderId="59" xfId="66" applyFont="1" applyFill="1" applyBorder="1" applyAlignment="1" applyProtection="1">
      <alignment horizontal="left"/>
    </xf>
    <xf numFmtId="0" fontId="6" fillId="16" borderId="3" xfId="66" applyFont="1" applyFill="1" applyBorder="1" applyAlignment="1" applyProtection="1">
      <alignment horizontal="center"/>
    </xf>
    <xf numFmtId="0" fontId="6" fillId="16" borderId="4" xfId="66" applyFont="1" applyFill="1" applyBorder="1" applyAlignment="1" applyProtection="1">
      <alignment horizontal="center"/>
    </xf>
    <xf numFmtId="0" fontId="7" fillId="16" borderId="3" xfId="66" applyFont="1" applyFill="1" applyBorder="1" applyAlignment="1" applyProtection="1">
      <alignment horizontal="center"/>
    </xf>
    <xf numFmtId="0" fontId="7" fillId="16" borderId="4" xfId="66" applyFont="1" applyFill="1" applyBorder="1" applyAlignment="1" applyProtection="1">
      <alignment horizontal="center"/>
    </xf>
    <xf numFmtId="0" fontId="9" fillId="16" borderId="8" xfId="66" applyFont="1" applyFill="1" applyBorder="1" applyAlignment="1" applyProtection="1">
      <alignment horizontal="center" vertical="center" wrapText="1"/>
    </xf>
    <xf numFmtId="0" fontId="9" fillId="16" borderId="13" xfId="66" applyFont="1" applyFill="1" applyBorder="1" applyAlignment="1" applyProtection="1">
      <alignment horizontal="center" vertical="center" wrapText="1"/>
    </xf>
    <xf numFmtId="0" fontId="9" fillId="16" borderId="18" xfId="66" applyFont="1" applyFill="1" applyBorder="1" applyAlignment="1" applyProtection="1">
      <alignment horizontal="center" vertical="center"/>
    </xf>
    <xf numFmtId="0" fontId="9" fillId="16" borderId="17" xfId="66" applyFont="1" applyFill="1" applyBorder="1" applyAlignment="1" applyProtection="1">
      <alignment horizontal="center" vertical="center"/>
    </xf>
    <xf numFmtId="0" fontId="9" fillId="16" borderId="19" xfId="66" applyFont="1" applyFill="1" applyBorder="1" applyAlignment="1" applyProtection="1">
      <alignment horizontal="center" vertical="center" wrapText="1"/>
    </xf>
    <xf numFmtId="0" fontId="9" fillId="16" borderId="27" xfId="66" applyFont="1" applyFill="1" applyBorder="1" applyAlignment="1" applyProtection="1">
      <alignment horizontal="center" vertical="center" wrapText="1"/>
    </xf>
    <xf numFmtId="0" fontId="9" fillId="16" borderId="57" xfId="66" applyFont="1" applyFill="1" applyBorder="1" applyAlignment="1" applyProtection="1">
      <alignment horizontal="center" vertical="center" wrapText="1"/>
    </xf>
    <xf numFmtId="0" fontId="5" fillId="16" borderId="27" xfId="66" applyFont="1" applyFill="1" applyBorder="1" applyAlignment="1" applyProtection="1">
      <alignment horizontal="center" vertical="center" wrapText="1"/>
    </xf>
    <xf numFmtId="0" fontId="5" fillId="16" borderId="57" xfId="66" applyFont="1" applyFill="1" applyBorder="1" applyAlignment="1" applyProtection="1">
      <alignment horizontal="center" vertical="center" wrapText="1"/>
    </xf>
    <xf numFmtId="0" fontId="9" fillId="16" borderId="20" xfId="66" applyFont="1" applyFill="1" applyBorder="1" applyAlignment="1" applyProtection="1">
      <alignment horizontal="center" vertical="center"/>
    </xf>
    <xf numFmtId="0" fontId="9" fillId="16" borderId="9" xfId="66" applyFont="1" applyFill="1" applyBorder="1" applyAlignment="1" applyProtection="1">
      <alignment horizontal="center" vertical="center"/>
    </xf>
    <xf numFmtId="0" fontId="10" fillId="0" borderId="21" xfId="66" applyFont="1" applyFill="1" applyBorder="1" applyAlignment="1" applyProtection="1">
      <alignment horizontal="center" wrapText="1"/>
      <protection locked="0"/>
    </xf>
    <xf numFmtId="0" fontId="23" fillId="0" borderId="1" xfId="2" applyFont="1" applyBorder="1" applyAlignment="1">
      <alignment horizontal="center"/>
    </xf>
    <xf numFmtId="0" fontId="23" fillId="0" borderId="3" xfId="2" applyFont="1" applyBorder="1" applyAlignment="1">
      <alignment horizontal="center"/>
    </xf>
    <xf numFmtId="0" fontId="23" fillId="0" borderId="4" xfId="2" applyFont="1" applyBorder="1" applyAlignment="1">
      <alignment horizontal="center"/>
    </xf>
    <xf numFmtId="0" fontId="23" fillId="0" borderId="5" xfId="2" applyFont="1" applyBorder="1" applyAlignment="1">
      <alignment horizontal="center"/>
    </xf>
    <xf numFmtId="0" fontId="6" fillId="16" borderId="5" xfId="2" applyFont="1" applyFill="1" applyBorder="1" applyAlignment="1" applyProtection="1">
      <alignment horizontal="center"/>
    </xf>
    <xf numFmtId="0" fontId="7" fillId="16" borderId="5" xfId="2" applyFont="1" applyFill="1" applyBorder="1" applyAlignment="1" applyProtection="1">
      <alignment horizontal="center"/>
    </xf>
    <xf numFmtId="0" fontId="9" fillId="16" borderId="18" xfId="2" applyFont="1" applyFill="1" applyBorder="1" applyAlignment="1" applyProtection="1">
      <alignment horizontal="center" vertical="center"/>
    </xf>
    <xf numFmtId="0" fontId="9" fillId="16" borderId="17" xfId="2" applyFont="1" applyFill="1" applyBorder="1" applyAlignment="1" applyProtection="1">
      <alignment horizontal="center" vertical="center"/>
    </xf>
    <xf numFmtId="1" fontId="9" fillId="16" borderId="18" xfId="3" applyNumberFormat="1" applyFont="1" applyFill="1" applyBorder="1" applyAlignment="1" applyProtection="1">
      <alignment horizontal="center" vertical="center"/>
    </xf>
    <xf numFmtId="1" fontId="9" fillId="16" borderId="17" xfId="3" applyNumberFormat="1" applyFont="1" applyFill="1" applyBorder="1" applyAlignment="1" applyProtection="1">
      <alignment horizontal="center" vertical="center"/>
    </xf>
    <xf numFmtId="0" fontId="10" fillId="0" borderId="21" xfId="2" applyFont="1" applyFill="1" applyBorder="1" applyAlignment="1" applyProtection="1">
      <alignment horizontal="center" wrapText="1"/>
      <protection locked="0"/>
    </xf>
    <xf numFmtId="0" fontId="10" fillId="0" borderId="22" xfId="2" applyFont="1" applyFill="1" applyBorder="1" applyAlignment="1" applyProtection="1">
      <alignment horizontal="center" wrapText="1"/>
      <protection locked="0"/>
    </xf>
    <xf numFmtId="0" fontId="11" fillId="0" borderId="21" xfId="2" applyFont="1" applyFill="1" applyBorder="1" applyAlignment="1" applyProtection="1">
      <alignment horizontal="center" wrapText="1"/>
      <protection locked="0"/>
    </xf>
    <xf numFmtId="0" fontId="11" fillId="0" borderId="22" xfId="2" applyFont="1" applyFill="1" applyBorder="1" applyAlignment="1" applyProtection="1">
      <alignment horizontal="center" wrapText="1"/>
      <protection locked="0"/>
    </xf>
    <xf numFmtId="0" fontId="10" fillId="0" borderId="23" xfId="2" applyFont="1" applyFill="1" applyBorder="1" applyAlignment="1" applyProtection="1">
      <alignment horizontal="center" wrapText="1"/>
      <protection locked="0"/>
    </xf>
    <xf numFmtId="0" fontId="10" fillId="0" borderId="25" xfId="2" applyFont="1" applyFill="1" applyBorder="1" applyAlignment="1" applyProtection="1">
      <alignment horizontal="center" wrapText="1"/>
      <protection locked="0"/>
    </xf>
    <xf numFmtId="0" fontId="10" fillId="0" borderId="26" xfId="2" applyFont="1" applyFill="1" applyBorder="1" applyAlignment="1" applyProtection="1">
      <alignment horizontal="center" wrapText="1"/>
      <protection locked="0"/>
    </xf>
    <xf numFmtId="0" fontId="10" fillId="0" borderId="17" xfId="2" applyFont="1" applyFill="1" applyBorder="1" applyAlignment="1" applyProtection="1">
      <alignment horizontal="center" wrapText="1"/>
      <protection locked="0"/>
    </xf>
    <xf numFmtId="0" fontId="10" fillId="0" borderId="29" xfId="2" applyFont="1" applyFill="1" applyBorder="1" applyAlignment="1" applyProtection="1">
      <alignment horizontal="center" wrapText="1"/>
      <protection locked="0"/>
    </xf>
    <xf numFmtId="0" fontId="10" fillId="0" borderId="30" xfId="2" applyFont="1" applyFill="1" applyBorder="1" applyAlignment="1" applyProtection="1">
      <alignment horizontal="center" wrapText="1"/>
      <protection locked="0"/>
    </xf>
    <xf numFmtId="0" fontId="9" fillId="0" borderId="0" xfId="2" applyFont="1" applyFill="1" applyBorder="1" applyAlignment="1" applyProtection="1">
      <alignment horizontal="center" wrapText="1"/>
      <protection locked="0"/>
    </xf>
    <xf numFmtId="0" fontId="10" fillId="0" borderId="33" xfId="2" applyFont="1" applyFill="1" applyBorder="1" applyAlignment="1" applyProtection="1">
      <alignment horizontal="center" wrapText="1"/>
      <protection locked="0"/>
    </xf>
    <xf numFmtId="0" fontId="10" fillId="0" borderId="34" xfId="2" applyFont="1" applyFill="1" applyBorder="1" applyAlignment="1" applyProtection="1">
      <alignment horizontal="center" wrapText="1"/>
      <protection locked="0"/>
    </xf>
    <xf numFmtId="0" fontId="10" fillId="0" borderId="35" xfId="2" applyFont="1" applyFill="1" applyBorder="1" applyAlignment="1" applyProtection="1">
      <alignment horizontal="center" wrapText="1"/>
      <protection locked="0"/>
    </xf>
    <xf numFmtId="0" fontId="10" fillId="0" borderId="36" xfId="2" applyFont="1" applyFill="1" applyBorder="1" applyAlignment="1" applyProtection="1">
      <alignment horizontal="center" wrapText="1"/>
      <protection locked="0"/>
    </xf>
    <xf numFmtId="0" fontId="10" fillId="0" borderId="37" xfId="2" applyFont="1" applyFill="1" applyBorder="1" applyAlignment="1" applyProtection="1">
      <alignment horizontal="center" wrapText="1"/>
      <protection locked="0"/>
    </xf>
    <xf numFmtId="0" fontId="9" fillId="0" borderId="9" xfId="2" applyFont="1" applyFill="1" applyBorder="1" applyAlignment="1" applyProtection="1">
      <alignment horizontal="left" vertical="top"/>
      <protection locked="0"/>
    </xf>
    <xf numFmtId="0" fontId="9" fillId="0" borderId="20" xfId="2" applyFont="1" applyFill="1" applyBorder="1" applyAlignment="1" applyProtection="1">
      <alignment horizontal="left" vertical="top"/>
      <protection locked="0"/>
    </xf>
    <xf numFmtId="0" fontId="9" fillId="0" borderId="56" xfId="2" applyFont="1" applyFill="1" applyBorder="1" applyAlignment="1" applyProtection="1">
      <alignment horizontal="left" vertical="top"/>
      <protection locked="0"/>
    </xf>
    <xf numFmtId="0" fontId="9" fillId="0" borderId="14" xfId="2" applyFont="1" applyFill="1" applyBorder="1" applyAlignment="1" applyProtection="1">
      <alignment horizontal="left" vertical="top"/>
      <protection locked="0"/>
    </xf>
    <xf numFmtId="0" fontId="9" fillId="0" borderId="15" xfId="2" applyFont="1" applyFill="1" applyBorder="1" applyAlignment="1" applyProtection="1">
      <alignment horizontal="left" vertical="top"/>
      <protection locked="0"/>
    </xf>
    <xf numFmtId="0" fontId="9" fillId="0" borderId="9" xfId="2" applyFont="1" applyFill="1" applyBorder="1" applyAlignment="1" applyProtection="1">
      <alignment vertical="top"/>
      <protection locked="0"/>
    </xf>
    <xf numFmtId="3" fontId="9" fillId="16" borderId="8" xfId="2" applyNumberFormat="1" applyFont="1" applyFill="1" applyBorder="1" applyAlignment="1" applyProtection="1">
      <alignment horizontal="center" vertical="center" wrapText="1"/>
    </xf>
    <xf numFmtId="3" fontId="9" fillId="16" borderId="13" xfId="2" applyNumberFormat="1" applyFont="1" applyFill="1" applyBorder="1" applyAlignment="1" applyProtection="1">
      <alignment horizontal="center" vertical="center" wrapText="1"/>
    </xf>
    <xf numFmtId="0" fontId="11" fillId="0" borderId="17" xfId="2" applyFont="1" applyFill="1" applyBorder="1" applyAlignment="1" applyProtection="1">
      <alignment horizontal="center" wrapText="1"/>
      <protection locked="0"/>
    </xf>
    <xf numFmtId="0" fontId="11" fillId="0" borderId="28" xfId="2" applyFont="1" applyFill="1" applyBorder="1" applyAlignment="1" applyProtection="1">
      <alignment horizontal="center" wrapText="1"/>
      <protection locked="0"/>
    </xf>
    <xf numFmtId="0" fontId="11" fillId="0" borderId="23" xfId="2" applyFont="1" applyFill="1" applyBorder="1" applyAlignment="1" applyProtection="1">
      <alignment horizontal="center" wrapText="1"/>
      <protection locked="0"/>
    </xf>
    <xf numFmtId="0" fontId="11" fillId="0" borderId="24" xfId="2" applyFont="1" applyFill="1" applyBorder="1" applyAlignment="1" applyProtection="1">
      <alignment horizontal="center" wrapText="1"/>
      <protection locked="0"/>
    </xf>
    <xf numFmtId="0" fontId="10" fillId="0" borderId="96" xfId="2" applyFont="1" applyFill="1" applyBorder="1" applyAlignment="1" applyProtection="1">
      <alignment horizontal="center" wrapText="1"/>
      <protection locked="0"/>
    </xf>
    <xf numFmtId="0" fontId="10" fillId="0" borderId="97" xfId="2" applyFont="1" applyFill="1" applyBorder="1" applyAlignment="1" applyProtection="1">
      <alignment horizontal="center" wrapText="1"/>
      <protection locked="0"/>
    </xf>
    <xf numFmtId="164" fontId="40" fillId="2" borderId="0" xfId="2" applyNumberFormat="1" applyFont="1" applyFill="1" applyBorder="1" applyAlignment="1" applyProtection="1">
      <alignment horizontal="center" vertical="center" wrapText="1"/>
      <protection locked="0"/>
    </xf>
    <xf numFmtId="0" fontId="40" fillId="2" borderId="9" xfId="2" applyFont="1" applyFill="1" applyBorder="1" applyAlignment="1" applyProtection="1">
      <alignment horizontal="center" vertical="center" wrapText="1"/>
      <protection locked="0"/>
    </xf>
    <xf numFmtId="0" fontId="40" fillId="2" borderId="14" xfId="2" applyFont="1" applyFill="1" applyBorder="1" applyAlignment="1" applyProtection="1">
      <alignment horizontal="center" vertical="center" wrapText="1"/>
      <protection locked="0"/>
    </xf>
    <xf numFmtId="0" fontId="40" fillId="2" borderId="15" xfId="2" applyFont="1" applyFill="1" applyBorder="1" applyAlignment="1" applyProtection="1">
      <alignment horizontal="center" vertical="center" wrapText="1"/>
      <protection locked="0"/>
    </xf>
    <xf numFmtId="0" fontId="10" fillId="0" borderId="99" xfId="2" applyFont="1" applyFill="1" applyBorder="1" applyAlignment="1" applyProtection="1">
      <alignment horizontal="center" wrapText="1"/>
      <protection locked="0"/>
    </xf>
    <xf numFmtId="0" fontId="10" fillId="0" borderId="100" xfId="2" applyFont="1" applyFill="1" applyBorder="1" applyAlignment="1" applyProtection="1">
      <alignment horizontal="center" wrapText="1"/>
      <protection locked="0"/>
    </xf>
    <xf numFmtId="0" fontId="10" fillId="0" borderId="78" xfId="2" applyFont="1" applyFill="1" applyBorder="1" applyAlignment="1" applyProtection="1">
      <alignment horizontal="center" wrapText="1"/>
      <protection locked="0"/>
    </xf>
    <xf numFmtId="0" fontId="10" fillId="0" borderId="101" xfId="2" applyFont="1" applyFill="1" applyBorder="1" applyAlignment="1" applyProtection="1">
      <alignment horizontal="center" wrapText="1"/>
      <protection locked="0"/>
    </xf>
    <xf numFmtId="0" fontId="10" fillId="0" borderId="14" xfId="2" applyFont="1" applyFill="1" applyBorder="1" applyAlignment="1" applyProtection="1">
      <alignment horizontal="center" wrapText="1"/>
      <protection locked="0"/>
    </xf>
    <xf numFmtId="0" fontId="10" fillId="0" borderId="102" xfId="2" applyFont="1" applyFill="1" applyBorder="1" applyAlignment="1" applyProtection="1">
      <alignment horizontal="center" wrapText="1"/>
      <protection locked="0"/>
    </xf>
    <xf numFmtId="0" fontId="10" fillId="0" borderId="103" xfId="2" applyFont="1" applyFill="1" applyBorder="1" applyAlignment="1" applyProtection="1">
      <alignment horizontal="center" wrapText="1"/>
      <protection locked="0"/>
    </xf>
    <xf numFmtId="0" fontId="10" fillId="0" borderId="104" xfId="2" applyFont="1" applyFill="1" applyBorder="1" applyAlignment="1" applyProtection="1">
      <alignment horizontal="center" wrapText="1"/>
      <protection locked="0"/>
    </xf>
    <xf numFmtId="0" fontId="10" fillId="0" borderId="105" xfId="2" applyFont="1" applyFill="1" applyBorder="1" applyAlignment="1" applyProtection="1">
      <alignment horizontal="center" wrapText="1"/>
      <protection locked="0"/>
    </xf>
    <xf numFmtId="0" fontId="10" fillId="0" borderId="106" xfId="2" applyFont="1" applyFill="1" applyBorder="1" applyAlignment="1" applyProtection="1">
      <alignment horizontal="center" wrapText="1"/>
      <protection locked="0"/>
    </xf>
    <xf numFmtId="0" fontId="9" fillId="16" borderId="5" xfId="2" applyFont="1" applyFill="1" applyBorder="1" applyAlignment="1" applyProtection="1">
      <alignment horizontal="center"/>
    </xf>
    <xf numFmtId="0" fontId="9" fillId="0" borderId="1" xfId="2" applyFont="1" applyBorder="1" applyAlignment="1" applyProtection="1">
      <alignment horizontal="center" wrapText="1"/>
      <protection locked="0"/>
    </xf>
    <xf numFmtId="0" fontId="10" fillId="0" borderId="3" xfId="2" applyFont="1" applyFill="1" applyBorder="1" applyAlignment="1" applyProtection="1">
      <alignment horizontal="center" wrapText="1"/>
      <protection locked="0"/>
    </xf>
    <xf numFmtId="0" fontId="10" fillId="0" borderId="5" xfId="2" applyFont="1" applyFill="1" applyBorder="1" applyAlignment="1" applyProtection="1">
      <alignment horizontal="center" wrapText="1"/>
      <protection locked="0"/>
    </xf>
    <xf numFmtId="0" fontId="10" fillId="0" borderId="117" xfId="2" applyFont="1" applyFill="1" applyBorder="1" applyAlignment="1" applyProtection="1">
      <alignment horizontal="center" wrapText="1"/>
      <protection locked="0"/>
    </xf>
    <xf numFmtId="0" fontId="10" fillId="0" borderId="18" xfId="2" applyFont="1" applyFill="1" applyBorder="1" applyAlignment="1" applyProtection="1">
      <alignment horizontal="center" wrapText="1"/>
      <protection locked="0"/>
    </xf>
    <xf numFmtId="0" fontId="10" fillId="0" borderId="56" xfId="2" applyFont="1" applyFill="1" applyBorder="1" applyAlignment="1" applyProtection="1">
      <alignment horizontal="center" wrapText="1"/>
      <protection locked="0"/>
    </xf>
    <xf numFmtId="0" fontId="10" fillId="0" borderId="118" xfId="2" applyFont="1" applyFill="1" applyBorder="1" applyAlignment="1" applyProtection="1">
      <alignment horizontal="center" wrapText="1"/>
      <protection locked="0"/>
    </xf>
    <xf numFmtId="0" fontId="9" fillId="16" borderId="56" xfId="2" applyFont="1" applyFill="1" applyBorder="1" applyAlignment="1" applyProtection="1">
      <alignment horizontal="center" vertical="center"/>
    </xf>
    <xf numFmtId="0" fontId="10" fillId="0" borderId="116" xfId="2" applyFont="1" applyFill="1" applyBorder="1" applyAlignment="1" applyProtection="1">
      <alignment horizontal="center" wrapText="1"/>
      <protection locked="0"/>
    </xf>
    <xf numFmtId="0" fontId="10" fillId="0" borderId="4" xfId="2" applyFont="1" applyFill="1" applyBorder="1" applyAlignment="1" applyProtection="1">
      <alignment horizontal="center" wrapText="1"/>
      <protection locked="0"/>
    </xf>
    <xf numFmtId="0" fontId="9" fillId="16" borderId="57" xfId="2" applyFont="1" applyFill="1" applyBorder="1" applyAlignment="1" applyProtection="1">
      <alignment horizontal="center" vertical="center" wrapText="1"/>
    </xf>
    <xf numFmtId="0" fontId="5" fillId="16" borderId="15" xfId="2" applyFont="1" applyFill="1" applyBorder="1" applyAlignment="1" applyProtection="1">
      <alignment horizontal="center" vertical="center" wrapText="1"/>
    </xf>
    <xf numFmtId="0" fontId="9" fillId="16" borderId="15" xfId="2" applyFont="1" applyFill="1" applyBorder="1" applyAlignment="1" applyProtection="1">
      <alignment horizontal="center" vertical="center"/>
    </xf>
  </cellXfs>
  <cellStyles count="69">
    <cellStyle name="20% - Accent1 2" xfId="5"/>
    <cellStyle name="20% - Accent2 2" xfId="6"/>
    <cellStyle name="20% - Accent3 2" xfId="7"/>
    <cellStyle name="20% - Accent4 2" xfId="8"/>
    <cellStyle name="20% - Accent5 2" xfId="9"/>
    <cellStyle name="20% - Accent6 2" xfId="10"/>
    <cellStyle name="40% - Accent1 2" xfId="11"/>
    <cellStyle name="40% - Accent2 2" xfId="12"/>
    <cellStyle name="40% - Accent3 2" xfId="13"/>
    <cellStyle name="40% - Accent4 2" xfId="14"/>
    <cellStyle name="40% - Accent5 2" xfId="15"/>
    <cellStyle name="40% - Accent6 2" xfId="16"/>
    <cellStyle name="Comma" xfId="63" builtinId="3"/>
    <cellStyle name="Comma 2" xfId="3"/>
    <cellStyle name="Comma 3" xfId="56"/>
    <cellStyle name="Comma 4" xfId="64"/>
    <cellStyle name="Normal" xfId="0" builtinId="0"/>
    <cellStyle name="Normal 10" xfId="17"/>
    <cellStyle name="Normal 11" xfId="4"/>
    <cellStyle name="Normal 11 2" xfId="57"/>
    <cellStyle name="Normal 11 3" xfId="58"/>
    <cellStyle name="Normal 12" xfId="18"/>
    <cellStyle name="Normal 12 2" xfId="59"/>
    <cellStyle name="Normal 12 3" xfId="60"/>
    <cellStyle name="Normal 12 4" xfId="62"/>
    <cellStyle name="Normal 13" xfId="19"/>
    <cellStyle name="Normal 14" xfId="61"/>
    <cellStyle name="Normal 14 2" xfId="67"/>
    <cellStyle name="Normal 15" xfId="65"/>
    <cellStyle name="Normal 16" xfId="66"/>
    <cellStyle name="Normal 17" xfId="68"/>
    <cellStyle name="Normal 2" xfId="2"/>
    <cellStyle name="Normal 2 2" xfId="20"/>
    <cellStyle name="Normal 2 2 2" xfId="21"/>
    <cellStyle name="Normal 2 2 2 2" xfId="22"/>
    <cellStyle name="Normal 2 2 2 2 2" xfId="23"/>
    <cellStyle name="Normal 2 2 2 2_Enq. 31.12.08-UPL ENV._MCC__3.1.09" xfId="24"/>
    <cellStyle name="Normal 2 2 2 3" xfId="25"/>
    <cellStyle name="Normal 2 2 3" xfId="26"/>
    <cellStyle name="Normal 2 2 4" xfId="27"/>
    <cellStyle name="Normal 2 2_0115_PIL_Extension MCC_26.06.09" xfId="28"/>
    <cellStyle name="Normal 2 3" xfId="29"/>
    <cellStyle name="Normal 2 4" xfId="30"/>
    <cellStyle name="Normal 2 4 2" xfId="31"/>
    <cellStyle name="Normal 2 5" xfId="32"/>
    <cellStyle name="Normal 2 6" xfId="33"/>
    <cellStyle name="Normal 2 7" xfId="34"/>
    <cellStyle name="Normal 2_AIDPL" xfId="35"/>
    <cellStyle name="Normal 3" xfId="36"/>
    <cellStyle name="Normal 3 2" xfId="37"/>
    <cellStyle name="Normal 4" xfId="38"/>
    <cellStyle name="Normal 5" xfId="39"/>
    <cellStyle name="Normal 6" xfId="40"/>
    <cellStyle name="Normal 7" xfId="41"/>
    <cellStyle name="Normal 8" xfId="42"/>
    <cellStyle name="Normal 9" xfId="43"/>
    <cellStyle name="Note 2" xfId="44"/>
    <cellStyle name="Note 3" xfId="45"/>
    <cellStyle name="Percent" xfId="1" builtinId="5"/>
    <cellStyle name="Percent 2" xfId="46"/>
    <cellStyle name="Percent 2 2" xfId="47"/>
    <cellStyle name="Percent 2 2 2" xfId="48"/>
    <cellStyle name="Percent 2 3" xfId="49"/>
    <cellStyle name="Percent 2 4" xfId="50"/>
    <cellStyle name="Percent 3" xfId="51"/>
    <cellStyle name="Percent 3 2" xfId="52"/>
    <cellStyle name="Percent 4" xfId="53"/>
    <cellStyle name="Percent 5" xfId="54"/>
    <cellStyle name="Percent 6" xfId="5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cid:image003.png@01D26FE8.3061623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9525</xdr:colOff>
      <xdr:row>1</xdr:row>
      <xdr:rowOff>152400</xdr:rowOff>
    </xdr:from>
    <xdr:to>
      <xdr:col>19</xdr:col>
      <xdr:colOff>466725</xdr:colOff>
      <xdr:row>12</xdr:row>
      <xdr:rowOff>47625</xdr:rowOff>
    </xdr:to>
    <xdr:pic>
      <xdr:nvPicPr>
        <xdr:cNvPr id="2" name="Picture 1" descr="cid:image003.png@01D26FE8.3061623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 y="342900"/>
          <a:ext cx="12039600" cy="1990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5%20Feb%202015/aaPR%20LIST/steel%20fittings-fasteners/Tube%20bundle%20Assembly/QCS%20-Tube%20Bundle%20Assly%20E-16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S-E-16A Tube Bundle"/>
      <sheetName val="E-16 Estimate"/>
    </sheetNames>
    <sheetDataSet>
      <sheetData sheetId="0"/>
      <sheetData sheetId="1">
        <row r="11">
          <cell r="G11">
            <v>520086.91993200005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tabSelected="1" topLeftCell="B75" zoomScale="90" zoomScaleNormal="90" workbookViewId="0">
      <selection activeCell="F85" sqref="F85"/>
    </sheetView>
  </sheetViews>
  <sheetFormatPr defaultRowHeight="15"/>
  <cols>
    <col min="1" max="1" width="15.5703125" customWidth="1"/>
    <col min="2" max="2" width="9" customWidth="1"/>
    <col min="3" max="3" width="8.85546875" customWidth="1"/>
    <col min="4" max="4" width="17.85546875" customWidth="1"/>
    <col min="5" max="5" width="22" customWidth="1"/>
    <col min="6" max="6" width="29.85546875" bestFit="1" customWidth="1"/>
    <col min="7" max="7" width="13.5703125" bestFit="1" customWidth="1"/>
    <col min="8" max="8" width="13.7109375" customWidth="1"/>
    <col min="9" max="9" width="14.7109375" customWidth="1"/>
    <col min="10" max="10" width="13.140625" customWidth="1"/>
    <col min="11" max="11" width="21.85546875" customWidth="1"/>
    <col min="12" max="12" width="72.85546875" bestFit="1" customWidth="1"/>
    <col min="15" max="15" width="11.28515625" bestFit="1" customWidth="1"/>
  </cols>
  <sheetData>
    <row r="1" spans="1:13">
      <c r="F1" s="212"/>
      <c r="G1" s="212"/>
      <c r="H1" s="212"/>
    </row>
    <row r="2" spans="1:13">
      <c r="F2" s="212"/>
      <c r="G2" s="212"/>
      <c r="H2" s="352" t="s">
        <v>2</v>
      </c>
      <c r="I2" s="1" t="s">
        <v>2</v>
      </c>
      <c r="J2" s="2" t="s">
        <v>3</v>
      </c>
      <c r="L2" s="2"/>
      <c r="M2" s="2" t="s">
        <v>7</v>
      </c>
    </row>
    <row r="3" spans="1:13">
      <c r="F3" s="212"/>
      <c r="G3" s="212"/>
      <c r="H3" s="352" t="s">
        <v>0</v>
      </c>
      <c r="I3" s="1" t="s">
        <v>1</v>
      </c>
      <c r="J3" s="2" t="s">
        <v>0</v>
      </c>
      <c r="K3" s="2" t="s">
        <v>6</v>
      </c>
    </row>
    <row r="4" spans="1:13" ht="60">
      <c r="A4" s="211" t="s">
        <v>8</v>
      </c>
      <c r="B4" s="211" t="s">
        <v>9</v>
      </c>
      <c r="C4" s="211" t="s">
        <v>10</v>
      </c>
      <c r="D4" s="211" t="s">
        <v>174</v>
      </c>
      <c r="E4" s="349" t="s">
        <v>4</v>
      </c>
      <c r="F4" s="211" t="s">
        <v>113</v>
      </c>
      <c r="G4" s="211" t="s">
        <v>5</v>
      </c>
      <c r="H4" s="212"/>
      <c r="I4" s="257"/>
      <c r="J4" s="212"/>
      <c r="K4" s="594" t="s">
        <v>1239</v>
      </c>
      <c r="L4" s="211" t="s">
        <v>108</v>
      </c>
      <c r="M4" s="212"/>
    </row>
    <row r="5" spans="1:13" ht="75">
      <c r="A5" s="212" t="s">
        <v>11</v>
      </c>
      <c r="B5" s="601">
        <v>42078</v>
      </c>
      <c r="C5" s="601">
        <v>42430</v>
      </c>
      <c r="D5" s="212" t="s">
        <v>13</v>
      </c>
      <c r="E5" s="350" t="s">
        <v>14</v>
      </c>
      <c r="F5" s="212" t="s">
        <v>112</v>
      </c>
      <c r="G5" s="212">
        <v>1000000</v>
      </c>
      <c r="H5" s="212">
        <v>1000000</v>
      </c>
      <c r="I5" s="257"/>
      <c r="J5" s="212"/>
      <c r="K5" s="6" t="s">
        <v>12</v>
      </c>
      <c r="L5" s="213" t="s">
        <v>109</v>
      </c>
      <c r="M5" s="6"/>
    </row>
    <row r="6" spans="1:13" ht="30">
      <c r="A6" s="212" t="s">
        <v>11</v>
      </c>
      <c r="B6" s="601">
        <v>42109</v>
      </c>
      <c r="C6" s="601">
        <v>42475</v>
      </c>
      <c r="D6" s="6" t="s">
        <v>111</v>
      </c>
      <c r="E6" s="210" t="s">
        <v>114</v>
      </c>
      <c r="F6" s="6" t="s">
        <v>170</v>
      </c>
      <c r="G6" s="212">
        <f>3333048*12%</f>
        <v>399965.76</v>
      </c>
      <c r="H6" s="259">
        <f>3333048*12%</f>
        <v>399965.76</v>
      </c>
      <c r="I6" s="257"/>
      <c r="J6" s="212"/>
      <c r="K6" s="6" t="s">
        <v>110</v>
      </c>
      <c r="L6" s="213" t="s">
        <v>171</v>
      </c>
      <c r="M6" s="6"/>
    </row>
    <row r="7" spans="1:13" ht="60">
      <c r="A7" s="212" t="s">
        <v>11</v>
      </c>
      <c r="B7" s="601">
        <v>42109</v>
      </c>
      <c r="C7" s="601">
        <v>42475</v>
      </c>
      <c r="D7" s="6" t="s">
        <v>173</v>
      </c>
      <c r="E7" s="351" t="s">
        <v>175</v>
      </c>
      <c r="F7" s="6" t="s">
        <v>288</v>
      </c>
      <c r="G7" s="258">
        <v>293576.20923298388</v>
      </c>
      <c r="H7" s="258">
        <v>293576.20923298388</v>
      </c>
      <c r="I7" s="257"/>
      <c r="J7" s="214"/>
      <c r="K7" s="6" t="s">
        <v>172</v>
      </c>
      <c r="L7" s="213" t="s">
        <v>289</v>
      </c>
      <c r="M7" s="6"/>
    </row>
    <row r="8" spans="1:13" ht="30">
      <c r="A8" s="212" t="s">
        <v>11</v>
      </c>
      <c r="B8" s="601">
        <v>42170</v>
      </c>
      <c r="C8" s="601">
        <v>42536</v>
      </c>
      <c r="D8" s="6" t="s">
        <v>291</v>
      </c>
      <c r="E8" s="6" t="s">
        <v>292</v>
      </c>
      <c r="F8" s="212" t="s">
        <v>354</v>
      </c>
      <c r="G8" s="212">
        <v>199483</v>
      </c>
      <c r="H8" s="212">
        <v>199483</v>
      </c>
      <c r="I8" s="212"/>
      <c r="J8" s="214"/>
      <c r="K8" s="353" t="s">
        <v>290</v>
      </c>
      <c r="L8" s="261" t="s">
        <v>355</v>
      </c>
      <c r="M8" s="353"/>
    </row>
    <row r="9" spans="1:13" ht="30">
      <c r="A9" s="212" t="s">
        <v>11</v>
      </c>
      <c r="B9" s="602">
        <v>42217</v>
      </c>
      <c r="C9" s="602">
        <v>42583</v>
      </c>
      <c r="D9" s="6" t="s">
        <v>13</v>
      </c>
      <c r="E9" s="6" t="s">
        <v>292</v>
      </c>
      <c r="F9" s="212" t="s">
        <v>353</v>
      </c>
      <c r="G9" s="212">
        <v>68558</v>
      </c>
      <c r="H9" s="212">
        <v>68558</v>
      </c>
      <c r="I9" s="212"/>
      <c r="J9" s="214"/>
      <c r="K9" s="447" t="s">
        <v>352</v>
      </c>
      <c r="L9" s="261" t="s">
        <v>356</v>
      </c>
      <c r="M9" s="446"/>
    </row>
    <row r="10" spans="1:13" ht="45">
      <c r="A10" s="212" t="s">
        <v>11</v>
      </c>
      <c r="B10" s="602">
        <v>42186</v>
      </c>
      <c r="C10" s="602">
        <v>42552</v>
      </c>
      <c r="D10" s="212" t="s">
        <v>359</v>
      </c>
      <c r="E10" s="213" t="s">
        <v>400</v>
      </c>
      <c r="F10" s="212" t="s">
        <v>401</v>
      </c>
      <c r="G10" s="212">
        <v>125817</v>
      </c>
      <c r="H10" s="212">
        <v>125817</v>
      </c>
      <c r="I10" s="212"/>
      <c r="J10" s="214"/>
      <c r="K10" s="353" t="s">
        <v>357</v>
      </c>
      <c r="L10" s="261" t="s">
        <v>358</v>
      </c>
      <c r="M10" s="353"/>
    </row>
    <row r="11" spans="1:13" ht="45">
      <c r="A11" s="212" t="s">
        <v>11</v>
      </c>
      <c r="B11" s="602">
        <v>42217</v>
      </c>
      <c r="C11" s="602">
        <v>42583</v>
      </c>
      <c r="D11" s="6" t="s">
        <v>1024</v>
      </c>
      <c r="E11" s="6" t="s">
        <v>1025</v>
      </c>
      <c r="F11" s="212"/>
      <c r="G11" s="6">
        <v>243374</v>
      </c>
      <c r="H11" s="6">
        <v>243374</v>
      </c>
      <c r="I11" s="212"/>
      <c r="J11" s="214"/>
      <c r="K11" s="539" t="s">
        <v>1026</v>
      </c>
      <c r="L11" s="213" t="s">
        <v>1027</v>
      </c>
      <c r="M11" s="212"/>
    </row>
    <row r="12" spans="1:13" ht="30">
      <c r="A12" s="212" t="s">
        <v>11</v>
      </c>
      <c r="B12" s="602">
        <v>42248</v>
      </c>
      <c r="C12" s="602">
        <v>42614</v>
      </c>
      <c r="D12" s="6" t="s">
        <v>1024</v>
      </c>
      <c r="E12" s="6" t="s">
        <v>1025</v>
      </c>
      <c r="F12" s="6" t="s">
        <v>1144</v>
      </c>
      <c r="G12" s="6">
        <v>97145</v>
      </c>
      <c r="H12" s="6">
        <v>97145</v>
      </c>
      <c r="I12" s="212"/>
      <c r="J12" s="214"/>
      <c r="K12" s="539" t="s">
        <v>1143</v>
      </c>
      <c r="L12" s="213" t="s">
        <v>1142</v>
      </c>
      <c r="M12" s="212"/>
    </row>
    <row r="13" spans="1:13" ht="105">
      <c r="A13" s="212" t="s">
        <v>11</v>
      </c>
      <c r="B13" s="602">
        <v>42248</v>
      </c>
      <c r="C13" s="602">
        <v>42614</v>
      </c>
      <c r="D13" s="6" t="s">
        <v>1206</v>
      </c>
      <c r="E13" s="6" t="s">
        <v>1207</v>
      </c>
      <c r="F13" s="6" t="s">
        <v>1208</v>
      </c>
      <c r="G13" s="6">
        <v>494286</v>
      </c>
      <c r="H13" s="6">
        <v>21111</v>
      </c>
      <c r="I13" s="212"/>
      <c r="J13" s="214"/>
      <c r="K13" s="539" t="s">
        <v>1209</v>
      </c>
      <c r="L13" s="213" t="s">
        <v>1210</v>
      </c>
      <c r="M13" s="212"/>
    </row>
    <row r="14" spans="1:13">
      <c r="A14" s="212" t="s">
        <v>11</v>
      </c>
      <c r="B14" s="603">
        <v>42309</v>
      </c>
      <c r="C14" s="603">
        <v>42675</v>
      </c>
      <c r="D14" s="591" t="s">
        <v>1224</v>
      </c>
      <c r="E14" s="446" t="s">
        <v>1225</v>
      </c>
      <c r="F14" s="6">
        <v>3</v>
      </c>
      <c r="G14" s="353"/>
      <c r="H14" s="353" t="s">
        <v>1229</v>
      </c>
      <c r="I14" s="212"/>
      <c r="J14" s="501" t="s">
        <v>1243</v>
      </c>
      <c r="K14" s="447" t="s">
        <v>1232</v>
      </c>
      <c r="L14" s="539" t="s">
        <v>1236</v>
      </c>
      <c r="M14" s="590"/>
    </row>
    <row r="15" spans="1:13" ht="45">
      <c r="A15" s="212" t="s">
        <v>11</v>
      </c>
      <c r="B15" s="603">
        <v>42309</v>
      </c>
      <c r="C15" s="603">
        <v>42675</v>
      </c>
      <c r="D15" s="591" t="s">
        <v>1221</v>
      </c>
      <c r="E15" s="446" t="s">
        <v>1226</v>
      </c>
      <c r="F15" s="6">
        <v>1</v>
      </c>
      <c r="G15" s="353"/>
      <c r="H15" s="353" t="s">
        <v>1230</v>
      </c>
      <c r="I15" s="212"/>
      <c r="J15" s="501" t="s">
        <v>1244</v>
      </c>
      <c r="K15" s="447" t="s">
        <v>1233</v>
      </c>
      <c r="L15" s="539" t="s">
        <v>1237</v>
      </c>
      <c r="M15" s="590"/>
    </row>
    <row r="16" spans="1:13" ht="45">
      <c r="A16" s="212" t="s">
        <v>11</v>
      </c>
      <c r="B16" s="603">
        <v>42339</v>
      </c>
      <c r="C16" s="603">
        <v>42705</v>
      </c>
      <c r="D16" s="591" t="s">
        <v>1222</v>
      </c>
      <c r="E16" s="592" t="s">
        <v>1227</v>
      </c>
      <c r="F16" s="6">
        <v>3</v>
      </c>
      <c r="G16" s="353">
        <v>90000</v>
      </c>
      <c r="H16" s="353">
        <v>90000</v>
      </c>
      <c r="I16" s="212"/>
      <c r="J16" s="593" t="s">
        <v>1231</v>
      </c>
      <c r="K16" s="447" t="s">
        <v>1234</v>
      </c>
      <c r="L16" s="539" t="s">
        <v>1269</v>
      </c>
      <c r="M16" s="590"/>
    </row>
    <row r="17" spans="1:13" ht="30">
      <c r="A17" s="212" t="s">
        <v>11</v>
      </c>
      <c r="B17" s="603">
        <v>42339</v>
      </c>
      <c r="C17" s="603">
        <v>42705</v>
      </c>
      <c r="D17" s="591" t="s">
        <v>1223</v>
      </c>
      <c r="E17" s="446" t="s">
        <v>1228</v>
      </c>
      <c r="F17" s="6">
        <v>1</v>
      </c>
      <c r="G17" s="353">
        <v>394565</v>
      </c>
      <c r="H17" s="353">
        <v>394565</v>
      </c>
      <c r="I17" s="212"/>
      <c r="J17" s="501" t="s">
        <v>1245</v>
      </c>
      <c r="K17" s="447" t="s">
        <v>1235</v>
      </c>
      <c r="L17" s="539" t="s">
        <v>1238</v>
      </c>
      <c r="M17" s="590"/>
    </row>
    <row r="18" spans="1:13" ht="45">
      <c r="A18" s="212" t="s">
        <v>11</v>
      </c>
      <c r="B18" s="603">
        <v>42339</v>
      </c>
      <c r="C18" s="603">
        <v>42705</v>
      </c>
      <c r="D18" s="595" t="s">
        <v>1240</v>
      </c>
      <c r="E18" s="592" t="s">
        <v>1241</v>
      </c>
      <c r="F18" s="6">
        <v>1</v>
      </c>
      <c r="G18" s="353">
        <v>35000</v>
      </c>
      <c r="H18" s="353">
        <v>35000</v>
      </c>
      <c r="I18" s="212"/>
      <c r="J18" s="214">
        <v>70000</v>
      </c>
      <c r="K18" s="539" t="s">
        <v>1242</v>
      </c>
      <c r="L18" s="539" t="s">
        <v>1246</v>
      </c>
      <c r="M18" s="590"/>
    </row>
    <row r="19" spans="1:13" ht="30">
      <c r="A19" s="212" t="s">
        <v>11</v>
      </c>
      <c r="B19" s="603">
        <v>42339</v>
      </c>
      <c r="C19" s="603">
        <v>42705</v>
      </c>
      <c r="D19" s="595" t="s">
        <v>1247</v>
      </c>
      <c r="E19" s="6" t="s">
        <v>1254</v>
      </c>
      <c r="F19" s="6">
        <v>3</v>
      </c>
      <c r="G19" s="6">
        <f>290826-259000</f>
        <v>31826</v>
      </c>
      <c r="H19" s="6">
        <f>290826-259000</f>
        <v>31826</v>
      </c>
      <c r="I19" s="212"/>
      <c r="J19" s="214"/>
      <c r="K19" s="596" t="s">
        <v>1248</v>
      </c>
      <c r="L19" s="213" t="s">
        <v>1268</v>
      </c>
      <c r="M19" s="590"/>
    </row>
    <row r="20" spans="1:13" ht="105">
      <c r="A20" s="212" t="s">
        <v>11</v>
      </c>
      <c r="B20" s="603">
        <v>42339</v>
      </c>
      <c r="C20" s="603">
        <v>42705</v>
      </c>
      <c r="D20" s="595" t="s">
        <v>1252</v>
      </c>
      <c r="E20" s="261" t="s">
        <v>1258</v>
      </c>
      <c r="F20" s="6">
        <v>1</v>
      </c>
      <c r="G20" s="6">
        <v>23358</v>
      </c>
      <c r="H20" s="6">
        <v>23358</v>
      </c>
      <c r="I20" s="212"/>
      <c r="J20" s="214"/>
      <c r="K20" s="596" t="s">
        <v>1253</v>
      </c>
      <c r="L20" s="213" t="s">
        <v>1259</v>
      </c>
      <c r="M20" s="590"/>
    </row>
    <row r="21" spans="1:13" ht="30">
      <c r="A21" s="212" t="s">
        <v>11</v>
      </c>
      <c r="B21" s="603">
        <v>42370</v>
      </c>
      <c r="C21" s="603">
        <v>42736</v>
      </c>
      <c r="D21" s="595" t="s">
        <v>1249</v>
      </c>
      <c r="E21" s="592" t="s">
        <v>1255</v>
      </c>
      <c r="F21" s="6">
        <v>40</v>
      </c>
      <c r="G21" s="6">
        <v>8400</v>
      </c>
      <c r="H21" s="6">
        <v>8400</v>
      </c>
      <c r="I21" s="212"/>
      <c r="J21" s="214" t="s">
        <v>1257</v>
      </c>
      <c r="K21" s="539" t="s">
        <v>1256</v>
      </c>
      <c r="L21" s="213" t="s">
        <v>1260</v>
      </c>
      <c r="M21" s="590"/>
    </row>
    <row r="22" spans="1:13" ht="30">
      <c r="A22" s="212" t="s">
        <v>11</v>
      </c>
      <c r="B22" s="603">
        <v>42370</v>
      </c>
      <c r="C22" s="603">
        <v>42736</v>
      </c>
      <c r="D22" s="595" t="s">
        <v>1250</v>
      </c>
      <c r="E22" s="261" t="s">
        <v>1261</v>
      </c>
      <c r="F22" s="212" t="s">
        <v>1262</v>
      </c>
      <c r="G22" s="212">
        <v>97500</v>
      </c>
      <c r="H22" s="212">
        <v>97500</v>
      </c>
      <c r="I22" s="212"/>
      <c r="J22" s="214"/>
      <c r="K22" s="212" t="s">
        <v>1263</v>
      </c>
      <c r="L22" s="213" t="s">
        <v>1264</v>
      </c>
    </row>
    <row r="23" spans="1:13" ht="30">
      <c r="A23" s="212" t="s">
        <v>11</v>
      </c>
      <c r="B23" s="603">
        <v>42370</v>
      </c>
      <c r="C23" s="603">
        <v>42736</v>
      </c>
      <c r="D23" s="595" t="s">
        <v>1251</v>
      </c>
      <c r="E23" s="261" t="s">
        <v>1265</v>
      </c>
      <c r="F23" s="212">
        <v>4205</v>
      </c>
      <c r="G23" s="212">
        <v>87000</v>
      </c>
      <c r="H23" s="212">
        <v>87000</v>
      </c>
      <c r="I23" s="212"/>
      <c r="J23" s="214"/>
      <c r="K23" s="212" t="s">
        <v>1266</v>
      </c>
      <c r="L23" s="213" t="s">
        <v>1267</v>
      </c>
    </row>
    <row r="24" spans="1:13" ht="45">
      <c r="A24" s="212" t="s">
        <v>11</v>
      </c>
      <c r="B24" s="603">
        <v>42401</v>
      </c>
      <c r="C24" s="603">
        <v>42767</v>
      </c>
      <c r="D24" s="595" t="s">
        <v>1273</v>
      </c>
      <c r="E24" s="261" t="s">
        <v>1274</v>
      </c>
      <c r="F24" s="212">
        <v>8</v>
      </c>
      <c r="G24" s="212">
        <f>26446</f>
        <v>26446</v>
      </c>
      <c r="H24" s="212">
        <v>26446</v>
      </c>
      <c r="I24" s="212"/>
      <c r="J24" s="214"/>
      <c r="K24" s="213" t="s">
        <v>1275</v>
      </c>
      <c r="L24" s="213" t="s">
        <v>1276</v>
      </c>
    </row>
    <row r="25" spans="1:13" ht="45">
      <c r="A25" s="212" t="s">
        <v>11</v>
      </c>
      <c r="B25" s="603">
        <v>42430</v>
      </c>
      <c r="C25" s="603">
        <v>42795</v>
      </c>
      <c r="D25" s="595" t="s">
        <v>1277</v>
      </c>
      <c r="E25" s="261" t="s">
        <v>1278</v>
      </c>
      <c r="F25" s="212">
        <v>681</v>
      </c>
      <c r="G25" s="212">
        <v>36265</v>
      </c>
      <c r="H25" s="212">
        <v>36265</v>
      </c>
      <c r="I25" s="212"/>
      <c r="J25" s="214"/>
      <c r="K25" s="213" t="s">
        <v>1279</v>
      </c>
      <c r="L25" s="213" t="s">
        <v>1280</v>
      </c>
    </row>
    <row r="26" spans="1:13" ht="45">
      <c r="A26" s="212" t="s">
        <v>11</v>
      </c>
      <c r="B26" s="603">
        <v>42430</v>
      </c>
      <c r="C26" s="603">
        <v>42795</v>
      </c>
      <c r="D26" s="595" t="s">
        <v>1281</v>
      </c>
      <c r="E26" s="261" t="s">
        <v>1284</v>
      </c>
      <c r="F26" s="212">
        <v>29</v>
      </c>
      <c r="G26" s="212">
        <v>25281</v>
      </c>
      <c r="H26" s="212">
        <v>25281</v>
      </c>
      <c r="I26" s="212"/>
      <c r="J26" s="214"/>
      <c r="K26" s="213" t="s">
        <v>1282</v>
      </c>
      <c r="L26" s="213" t="s">
        <v>1283</v>
      </c>
    </row>
    <row r="27" spans="1:13">
      <c r="A27" s="212"/>
      <c r="B27" s="603"/>
      <c r="C27" s="603"/>
      <c r="D27" s="595"/>
      <c r="E27" s="261"/>
      <c r="F27" s="212"/>
      <c r="G27" s="212"/>
      <c r="H27" s="212"/>
      <c r="I27" s="212"/>
      <c r="J27" s="214"/>
      <c r="K27" s="212"/>
      <c r="L27" s="213"/>
    </row>
    <row r="28" spans="1:13">
      <c r="E28" s="3"/>
      <c r="F28" s="3"/>
      <c r="G28" s="3"/>
      <c r="M28" s="552"/>
    </row>
    <row r="29" spans="1:13">
      <c r="E29" s="3"/>
      <c r="F29" s="261" t="s">
        <v>1271</v>
      </c>
      <c r="G29" s="599">
        <f>SUM(H5:H28)/100000</f>
        <v>33.046709692329841</v>
      </c>
    </row>
    <row r="30" spans="1:13">
      <c r="E30" s="3"/>
    </row>
    <row r="31" spans="1:13">
      <c r="E31" s="3"/>
      <c r="F31" s="597" t="s">
        <v>1270</v>
      </c>
      <c r="G31" s="212"/>
    </row>
    <row r="32" spans="1:13">
      <c r="E32" s="3"/>
      <c r="F32" s="211" t="s">
        <v>1272</v>
      </c>
      <c r="G32" s="212"/>
    </row>
    <row r="33" spans="1:13">
      <c r="E33" s="3"/>
      <c r="F33" s="598"/>
      <c r="G33" s="600">
        <v>881.74</v>
      </c>
      <c r="J33" s="4"/>
    </row>
    <row r="34" spans="1:13" ht="32.25" thickBot="1">
      <c r="E34" s="3"/>
      <c r="F34" s="943" t="s">
        <v>1285</v>
      </c>
      <c r="G34" s="944">
        <f>G29/G33</f>
        <v>3.7478973044582121E-2</v>
      </c>
      <c r="J34" s="4"/>
    </row>
    <row r="35" spans="1:13" s="951" customFormat="1" ht="15.75" thickBot="1">
      <c r="A35" s="950"/>
      <c r="B35" s="952" t="s">
        <v>1486</v>
      </c>
    </row>
    <row r="36" spans="1:13" ht="60">
      <c r="A36" s="945" t="s">
        <v>8</v>
      </c>
      <c r="B36" s="945" t="s">
        <v>9</v>
      </c>
      <c r="C36" s="945" t="s">
        <v>10</v>
      </c>
      <c r="D36" s="945" t="s">
        <v>174</v>
      </c>
      <c r="E36" s="946" t="s">
        <v>4</v>
      </c>
      <c r="F36" s="945" t="s">
        <v>113</v>
      </c>
      <c r="G36" s="945" t="s">
        <v>5</v>
      </c>
      <c r="H36" s="947"/>
      <c r="I36" s="948"/>
      <c r="J36" s="947"/>
      <c r="K36" s="949" t="s">
        <v>1239</v>
      </c>
      <c r="L36" s="945" t="s">
        <v>108</v>
      </c>
      <c r="M36" s="947"/>
    </row>
    <row r="37" spans="1:13" ht="45">
      <c r="A37" s="212" t="s">
        <v>11</v>
      </c>
      <c r="B37" s="603">
        <v>42461</v>
      </c>
      <c r="C37" s="603">
        <v>42826</v>
      </c>
      <c r="D37" s="595" t="s">
        <v>1281</v>
      </c>
      <c r="E37" s="261" t="s">
        <v>1284</v>
      </c>
      <c r="F37" s="212">
        <v>16</v>
      </c>
      <c r="G37" s="212">
        <v>7000</v>
      </c>
      <c r="H37" s="212">
        <v>7000</v>
      </c>
      <c r="I37" s="212"/>
      <c r="J37" s="214"/>
      <c r="K37" s="213" t="s">
        <v>1405</v>
      </c>
      <c r="L37" s="213" t="s">
        <v>1408</v>
      </c>
    </row>
    <row r="38" spans="1:13" ht="30">
      <c r="A38" s="212" t="s">
        <v>11</v>
      </c>
      <c r="B38" s="603">
        <v>42491</v>
      </c>
      <c r="C38" s="603">
        <v>42856</v>
      </c>
      <c r="D38" s="591" t="s">
        <v>1483</v>
      </c>
      <c r="E38" s="492" t="s">
        <v>1474</v>
      </c>
      <c r="F38" s="953" t="s">
        <v>1487</v>
      </c>
      <c r="G38" s="212">
        <v>7500</v>
      </c>
      <c r="H38" s="212">
        <v>7500</v>
      </c>
      <c r="I38" s="212"/>
      <c r="J38" s="214"/>
      <c r="K38" s="942" t="s">
        <v>1484</v>
      </c>
      <c r="L38" s="1140" t="s">
        <v>1485</v>
      </c>
    </row>
    <row r="39" spans="1:13" ht="45">
      <c r="A39" s="212" t="s">
        <v>11</v>
      </c>
      <c r="B39" s="603">
        <v>42491</v>
      </c>
      <c r="C39" s="603">
        <v>42856</v>
      </c>
      <c r="D39" s="595" t="s">
        <v>1281</v>
      </c>
      <c r="E39" s="261" t="s">
        <v>1284</v>
      </c>
      <c r="F39" s="212">
        <v>25</v>
      </c>
      <c r="G39" s="212">
        <v>24900</v>
      </c>
      <c r="H39" s="212">
        <v>24900</v>
      </c>
      <c r="I39" s="212"/>
      <c r="J39" s="214"/>
      <c r="K39" s="213" t="s">
        <v>1406</v>
      </c>
      <c r="L39" s="213" t="s">
        <v>1407</v>
      </c>
    </row>
    <row r="40" spans="1:13" ht="30">
      <c r="A40" s="212" t="s">
        <v>11</v>
      </c>
      <c r="B40" s="603">
        <v>42491</v>
      </c>
      <c r="C40" s="603">
        <v>42856</v>
      </c>
      <c r="D40" s="595" t="s">
        <v>1552</v>
      </c>
      <c r="E40" s="261" t="s">
        <v>1554</v>
      </c>
      <c r="F40" s="6">
        <v>2</v>
      </c>
      <c r="G40" s="212">
        <v>25000</v>
      </c>
      <c r="H40" s="212" t="s">
        <v>1553</v>
      </c>
      <c r="I40" s="212"/>
      <c r="J40" s="212"/>
      <c r="K40" s="212" t="s">
        <v>1555</v>
      </c>
      <c r="L40" s="213" t="s">
        <v>1556</v>
      </c>
    </row>
    <row r="41" spans="1:13" ht="60">
      <c r="A41" s="212" t="s">
        <v>11</v>
      </c>
      <c r="B41" s="603">
        <v>42522</v>
      </c>
      <c r="C41" s="603">
        <v>42887</v>
      </c>
      <c r="D41" s="591" t="s">
        <v>1410</v>
      </c>
      <c r="E41" s="261" t="s">
        <v>1409</v>
      </c>
      <c r="F41" s="6">
        <v>1</v>
      </c>
      <c r="G41" s="353">
        <v>95500</v>
      </c>
      <c r="H41" s="940" t="s">
        <v>1530</v>
      </c>
      <c r="I41" s="212"/>
      <c r="J41" s="501"/>
      <c r="K41" s="447" t="s">
        <v>1465</v>
      </c>
      <c r="L41" s="1139" t="s">
        <v>1612</v>
      </c>
      <c r="M41" s="590"/>
    </row>
    <row r="42" spans="1:13" ht="150.75" customHeight="1">
      <c r="A42" s="212" t="s">
        <v>11</v>
      </c>
      <c r="B42" s="603">
        <v>42522</v>
      </c>
      <c r="C42" s="603">
        <v>42887</v>
      </c>
      <c r="D42" s="591" t="s">
        <v>1410</v>
      </c>
      <c r="E42" s="261" t="s">
        <v>1409</v>
      </c>
      <c r="F42" s="6">
        <v>1</v>
      </c>
      <c r="G42" s="1141">
        <v>25000</v>
      </c>
      <c r="H42" s="212"/>
      <c r="I42" s="212"/>
      <c r="J42" s="212"/>
      <c r="K42" s="596" t="s">
        <v>1465</v>
      </c>
      <c r="L42" s="213" t="s">
        <v>1532</v>
      </c>
    </row>
    <row r="43" spans="1:13" ht="30">
      <c r="A43" s="212" t="s">
        <v>11</v>
      </c>
      <c r="B43" s="603">
        <v>42522</v>
      </c>
      <c r="C43" s="603">
        <v>42887</v>
      </c>
      <c r="D43" s="595" t="s">
        <v>1511</v>
      </c>
      <c r="E43" s="261" t="s">
        <v>1512</v>
      </c>
      <c r="F43" s="953" t="s">
        <v>1513</v>
      </c>
      <c r="G43" s="353">
        <v>3500</v>
      </c>
      <c r="H43" s="940" t="s">
        <v>1514</v>
      </c>
      <c r="I43" s="212"/>
      <c r="J43" s="501"/>
      <c r="K43" s="596" t="s">
        <v>1515</v>
      </c>
      <c r="L43" s="539" t="s">
        <v>1516</v>
      </c>
      <c r="M43" s="590"/>
    </row>
    <row r="44" spans="1:13" ht="45">
      <c r="A44" s="212" t="s">
        <v>11</v>
      </c>
      <c r="B44" s="603">
        <v>42522</v>
      </c>
      <c r="C44" s="603">
        <v>42887</v>
      </c>
      <c r="D44" s="595" t="s">
        <v>1526</v>
      </c>
      <c r="E44" s="261" t="s">
        <v>1527</v>
      </c>
      <c r="F44" s="953">
        <v>10</v>
      </c>
      <c r="G44" s="1124">
        <v>4925</v>
      </c>
      <c r="H44" s="213" t="s">
        <v>1528</v>
      </c>
      <c r="I44" s="212"/>
      <c r="J44" s="501"/>
      <c r="K44" s="596" t="s">
        <v>1529</v>
      </c>
      <c r="L44" s="539" t="s">
        <v>1531</v>
      </c>
      <c r="M44" s="590"/>
    </row>
    <row r="45" spans="1:13" ht="30">
      <c r="A45" s="212" t="s">
        <v>11</v>
      </c>
      <c r="B45" s="603">
        <v>42552</v>
      </c>
      <c r="C45" s="603">
        <v>42917</v>
      </c>
      <c r="D45" s="595" t="s">
        <v>1557</v>
      </c>
      <c r="E45" s="212" t="s">
        <v>1561</v>
      </c>
      <c r="F45" s="1303" t="s">
        <v>1608</v>
      </c>
      <c r="G45" s="1304">
        <v>3717</v>
      </c>
      <c r="H45" s="212"/>
      <c r="I45" s="212"/>
      <c r="J45" s="212"/>
      <c r="K45" s="539" t="s">
        <v>1565</v>
      </c>
      <c r="L45" s="213" t="s">
        <v>1620</v>
      </c>
    </row>
    <row r="46" spans="1:13" ht="30">
      <c r="A46" s="212" t="s">
        <v>11</v>
      </c>
      <c r="B46" s="603">
        <v>42552</v>
      </c>
      <c r="C46" s="603">
        <v>42917</v>
      </c>
      <c r="D46" s="595" t="s">
        <v>1558</v>
      </c>
      <c r="E46" s="212" t="s">
        <v>1560</v>
      </c>
      <c r="F46" s="1303" t="s">
        <v>1569</v>
      </c>
      <c r="G46" s="1304">
        <v>10605</v>
      </c>
      <c r="H46" s="212"/>
      <c r="I46" s="212"/>
      <c r="J46" s="212"/>
      <c r="K46" s="539" t="s">
        <v>1567</v>
      </c>
      <c r="L46" s="213" t="s">
        <v>1621</v>
      </c>
    </row>
    <row r="47" spans="1:13" ht="30">
      <c r="A47" s="212" t="s">
        <v>11</v>
      </c>
      <c r="B47" s="603">
        <v>42552</v>
      </c>
      <c r="C47" s="603">
        <v>42917</v>
      </c>
      <c r="D47" s="595" t="s">
        <v>1616</v>
      </c>
      <c r="E47" s="212" t="s">
        <v>1562</v>
      </c>
      <c r="F47" s="1303" t="s">
        <v>1617</v>
      </c>
      <c r="G47" s="1304">
        <v>49780</v>
      </c>
      <c r="H47" s="212"/>
      <c r="I47" s="212"/>
      <c r="J47" s="212"/>
      <c r="K47" s="539" t="s">
        <v>1618</v>
      </c>
      <c r="L47" s="213" t="s">
        <v>1619</v>
      </c>
    </row>
    <row r="48" spans="1:13" ht="30">
      <c r="A48" s="212" t="s">
        <v>11</v>
      </c>
      <c r="B48" s="603">
        <v>42552</v>
      </c>
      <c r="C48" s="603">
        <v>42917</v>
      </c>
      <c r="D48" s="595" t="s">
        <v>1559</v>
      </c>
      <c r="E48" s="212" t="s">
        <v>1563</v>
      </c>
      <c r="F48" s="1303" t="s">
        <v>1570</v>
      </c>
      <c r="G48" s="1304"/>
      <c r="H48" s="212"/>
      <c r="I48" s="212"/>
      <c r="J48" s="212"/>
      <c r="K48" s="539" t="s">
        <v>1566</v>
      </c>
      <c r="L48" s="212"/>
    </row>
    <row r="49" spans="1:13" ht="105">
      <c r="A49" s="212" t="s">
        <v>11</v>
      </c>
      <c r="B49" s="603">
        <v>42552</v>
      </c>
      <c r="C49" s="603">
        <v>42917</v>
      </c>
      <c r="D49" s="595" t="s">
        <v>1146</v>
      </c>
      <c r="E49" s="6" t="s">
        <v>1568</v>
      </c>
      <c r="F49" s="6" t="s">
        <v>1208</v>
      </c>
      <c r="G49" s="6">
        <v>21111</v>
      </c>
      <c r="H49" s="6">
        <v>21111</v>
      </c>
      <c r="I49" s="6"/>
      <c r="J49" s="214"/>
      <c r="K49" s="539" t="s">
        <v>1801</v>
      </c>
      <c r="L49" s="213" t="s">
        <v>1210</v>
      </c>
    </row>
    <row r="50" spans="1:13" ht="45">
      <c r="A50" s="212" t="s">
        <v>11</v>
      </c>
      <c r="B50" s="603">
        <v>42552</v>
      </c>
      <c r="C50" s="603">
        <v>42917</v>
      </c>
      <c r="D50" s="595" t="s">
        <v>1716</v>
      </c>
      <c r="E50" s="212" t="s">
        <v>1717</v>
      </c>
      <c r="F50" s="1303" t="s">
        <v>1798</v>
      </c>
      <c r="G50" s="1304">
        <v>5525</v>
      </c>
      <c r="H50" s="212">
        <v>5525</v>
      </c>
      <c r="I50" s="212"/>
      <c r="J50" s="212"/>
      <c r="K50" s="539" t="s">
        <v>1799</v>
      </c>
      <c r="L50" s="213" t="s">
        <v>1800</v>
      </c>
    </row>
    <row r="51" spans="1:13" ht="45">
      <c r="A51" s="212" t="s">
        <v>11</v>
      </c>
      <c r="B51" s="603">
        <v>42552</v>
      </c>
      <c r="C51" s="603">
        <v>42917</v>
      </c>
      <c r="D51" s="595" t="s">
        <v>1802</v>
      </c>
      <c r="E51" s="212" t="s">
        <v>1804</v>
      </c>
      <c r="F51" s="1303" t="s">
        <v>1803</v>
      </c>
      <c r="G51" s="1304">
        <f>(485-300)*138</f>
        <v>25530</v>
      </c>
      <c r="H51" s="1304">
        <f>(485-300)*138</f>
        <v>25530</v>
      </c>
      <c r="I51" s="212"/>
      <c r="J51" s="212"/>
      <c r="K51" s="539" t="s">
        <v>1805</v>
      </c>
      <c r="L51" s="213" t="s">
        <v>1806</v>
      </c>
    </row>
    <row r="52" spans="1:13" ht="47.25">
      <c r="A52" s="212" t="s">
        <v>11</v>
      </c>
      <c r="B52" s="603">
        <v>42552</v>
      </c>
      <c r="C52" s="603">
        <v>42917</v>
      </c>
      <c r="D52" s="595" t="s">
        <v>1802</v>
      </c>
      <c r="E52" s="212" t="s">
        <v>1804</v>
      </c>
      <c r="F52" s="1461" t="s">
        <v>1809</v>
      </c>
      <c r="G52" s="1304">
        <v>10000</v>
      </c>
      <c r="H52" s="1304">
        <v>10000</v>
      </c>
      <c r="I52" s="212"/>
      <c r="J52" s="212"/>
      <c r="K52" s="539" t="s">
        <v>1808</v>
      </c>
      <c r="L52" s="213" t="s">
        <v>1807</v>
      </c>
    </row>
    <row r="53" spans="1:13" ht="45">
      <c r="A53" s="212" t="s">
        <v>11</v>
      </c>
      <c r="B53" s="603">
        <v>42583</v>
      </c>
      <c r="C53" s="603">
        <v>42948</v>
      </c>
      <c r="D53" s="595" t="s">
        <v>1810</v>
      </c>
      <c r="E53" s="213" t="s">
        <v>1811</v>
      </c>
      <c r="F53" s="1303" t="s">
        <v>1812</v>
      </c>
      <c r="G53" s="1304">
        <v>16770</v>
      </c>
      <c r="H53" s="212">
        <v>16770</v>
      </c>
      <c r="I53" s="212"/>
      <c r="J53" s="212"/>
      <c r="K53" s="539" t="s">
        <v>1813</v>
      </c>
      <c r="L53" s="213" t="s">
        <v>1814</v>
      </c>
    </row>
    <row r="54" spans="1:13" ht="45">
      <c r="A54" s="212" t="s">
        <v>11</v>
      </c>
      <c r="B54" s="603">
        <v>42583</v>
      </c>
      <c r="C54" s="603">
        <v>42948</v>
      </c>
      <c r="D54" s="595" t="s">
        <v>1711</v>
      </c>
      <c r="E54" s="212" t="s">
        <v>1712</v>
      </c>
      <c r="F54" s="1303" t="s">
        <v>1713</v>
      </c>
      <c r="G54" s="1304">
        <v>22990</v>
      </c>
      <c r="H54" s="212">
        <v>22990</v>
      </c>
      <c r="I54" s="212"/>
      <c r="J54" s="212"/>
      <c r="K54" s="539" t="s">
        <v>1714</v>
      </c>
      <c r="L54" s="213" t="s">
        <v>1715</v>
      </c>
    </row>
    <row r="55" spans="1:13" ht="60">
      <c r="A55" s="212" t="s">
        <v>11</v>
      </c>
      <c r="B55" s="603">
        <v>42583</v>
      </c>
      <c r="C55" s="603">
        <v>42948</v>
      </c>
      <c r="D55" s="1486" t="s">
        <v>1855</v>
      </c>
      <c r="E55" s="1141" t="s">
        <v>1856</v>
      </c>
      <c r="F55" s="1484" t="s">
        <v>1857</v>
      </c>
      <c r="G55" s="1487">
        <v>3300</v>
      </c>
      <c r="H55" s="1487">
        <v>3300</v>
      </c>
      <c r="I55" s="212"/>
      <c r="J55" s="212"/>
      <c r="K55" s="539" t="s">
        <v>1858</v>
      </c>
      <c r="L55" s="1485" t="s">
        <v>1854</v>
      </c>
    </row>
    <row r="56" spans="1:13" ht="45">
      <c r="A56" s="212" t="s">
        <v>11</v>
      </c>
      <c r="B56" s="603">
        <v>42583</v>
      </c>
      <c r="C56" s="603">
        <v>42948</v>
      </c>
      <c r="D56" s="212" t="s">
        <v>1844</v>
      </c>
      <c r="E56" s="212" t="s">
        <v>1845</v>
      </c>
      <c r="F56" s="1303" t="s">
        <v>1849</v>
      </c>
      <c r="G56" s="212">
        <v>4860</v>
      </c>
      <c r="H56" s="212">
        <v>4860</v>
      </c>
      <c r="I56" s="212"/>
      <c r="J56" s="212"/>
      <c r="K56" s="212" t="s">
        <v>1843</v>
      </c>
      <c r="L56" s="213" t="s">
        <v>1850</v>
      </c>
    </row>
    <row r="57" spans="1:13" ht="30">
      <c r="A57" s="212" t="s">
        <v>11</v>
      </c>
      <c r="B57" s="603">
        <v>42583</v>
      </c>
      <c r="C57" s="603">
        <v>42948</v>
      </c>
      <c r="D57" s="6" t="s">
        <v>13</v>
      </c>
      <c r="E57" s="6" t="s">
        <v>1877</v>
      </c>
      <c r="F57" s="1303" t="s">
        <v>1876</v>
      </c>
      <c r="G57" s="212">
        <v>4814</v>
      </c>
      <c r="H57" s="212">
        <v>4814</v>
      </c>
      <c r="I57" s="212"/>
      <c r="J57" s="214"/>
      <c r="K57" s="447" t="s">
        <v>1879</v>
      </c>
      <c r="L57" s="261" t="s">
        <v>1878</v>
      </c>
      <c r="M57" s="446"/>
    </row>
    <row r="58" spans="1:13" ht="15.75">
      <c r="A58" s="212" t="s">
        <v>11</v>
      </c>
      <c r="B58" s="603">
        <v>42583</v>
      </c>
      <c r="C58" s="603">
        <v>42948</v>
      </c>
      <c r="D58" s="6" t="s">
        <v>1880</v>
      </c>
      <c r="E58" s="6" t="s">
        <v>1881</v>
      </c>
      <c r="F58" s="1303" t="s">
        <v>1882</v>
      </c>
      <c r="G58" s="212">
        <v>6500</v>
      </c>
      <c r="H58" s="212">
        <v>6500</v>
      </c>
      <c r="I58" s="212"/>
      <c r="J58" s="214"/>
      <c r="K58" s="447" t="s">
        <v>1883</v>
      </c>
      <c r="L58" s="261" t="s">
        <v>1884</v>
      </c>
      <c r="M58" s="446"/>
    </row>
    <row r="59" spans="1:13" ht="15.75">
      <c r="A59" s="212" t="s">
        <v>11</v>
      </c>
      <c r="B59" s="603">
        <v>42583</v>
      </c>
      <c r="C59" s="603">
        <v>42948</v>
      </c>
      <c r="D59" s="6" t="s">
        <v>1885</v>
      </c>
      <c r="E59" s="6" t="s">
        <v>1886</v>
      </c>
      <c r="F59" s="1303" t="s">
        <v>1887</v>
      </c>
      <c r="G59" s="212" t="s">
        <v>1888</v>
      </c>
      <c r="H59" s="212"/>
      <c r="I59" s="212"/>
      <c r="J59" s="214"/>
      <c r="K59" s="447" t="s">
        <v>1889</v>
      </c>
      <c r="L59" s="212" t="s">
        <v>1888</v>
      </c>
      <c r="M59" s="446"/>
    </row>
    <row r="60" spans="1:13" ht="45">
      <c r="A60" s="212" t="s">
        <v>11</v>
      </c>
      <c r="B60" s="603">
        <v>42614</v>
      </c>
      <c r="C60" s="603">
        <v>42979</v>
      </c>
      <c r="D60" s="212" t="s">
        <v>116</v>
      </c>
      <c r="E60" s="212" t="s">
        <v>1928</v>
      </c>
      <c r="F60" s="1303" t="s">
        <v>1929</v>
      </c>
      <c r="G60" s="212">
        <v>99609</v>
      </c>
      <c r="H60" s="212">
        <v>99609</v>
      </c>
      <c r="I60" s="212"/>
      <c r="J60" s="212"/>
      <c r="K60" s="212" t="s">
        <v>1934</v>
      </c>
      <c r="L60" s="213" t="s">
        <v>1930</v>
      </c>
    </row>
    <row r="61" spans="1:13" ht="45">
      <c r="A61" s="212" t="s">
        <v>11</v>
      </c>
      <c r="B61" s="603">
        <v>42614</v>
      </c>
      <c r="C61" s="603">
        <v>42979</v>
      </c>
      <c r="D61" s="212" t="s">
        <v>180</v>
      </c>
      <c r="E61" s="212" t="s">
        <v>1931</v>
      </c>
      <c r="F61" s="1303" t="s">
        <v>1932</v>
      </c>
      <c r="G61" s="212">
        <v>10919</v>
      </c>
      <c r="H61" s="212">
        <v>10919</v>
      </c>
      <c r="I61" s="212"/>
      <c r="J61" s="212"/>
      <c r="K61" s="212" t="s">
        <v>1935</v>
      </c>
      <c r="L61" s="213" t="s">
        <v>1933</v>
      </c>
    </row>
    <row r="62" spans="1:13" ht="45">
      <c r="A62" s="212" t="s">
        <v>11</v>
      </c>
      <c r="B62" s="603">
        <v>42644</v>
      </c>
      <c r="C62" s="603">
        <v>43009</v>
      </c>
      <c r="D62" s="212" t="s">
        <v>1844</v>
      </c>
      <c r="E62" s="212" t="s">
        <v>1845</v>
      </c>
      <c r="F62" s="1303" t="s">
        <v>1846</v>
      </c>
      <c r="G62" s="212">
        <v>9720</v>
      </c>
      <c r="H62" s="212">
        <v>9720</v>
      </c>
      <c r="I62" s="212"/>
      <c r="J62" s="212"/>
      <c r="K62" s="212" t="s">
        <v>1848</v>
      </c>
      <c r="L62" s="213" t="s">
        <v>1847</v>
      </c>
    </row>
    <row r="63" spans="1:13" ht="45">
      <c r="A63" s="212" t="s">
        <v>11</v>
      </c>
      <c r="B63" s="603">
        <v>42644</v>
      </c>
      <c r="C63" s="603">
        <v>43009</v>
      </c>
      <c r="D63" s="212" t="s">
        <v>1844</v>
      </c>
      <c r="E63" s="212" t="s">
        <v>1845</v>
      </c>
      <c r="F63" s="1303" t="s">
        <v>1851</v>
      </c>
      <c r="G63" s="212">
        <v>3567</v>
      </c>
      <c r="H63" s="212">
        <v>3567</v>
      </c>
      <c r="I63" s="212"/>
      <c r="J63" s="212"/>
      <c r="K63" s="212" t="s">
        <v>1852</v>
      </c>
      <c r="L63" s="213" t="s">
        <v>1853</v>
      </c>
    </row>
    <row r="64" spans="1:13" ht="30">
      <c r="A64" s="212" t="s">
        <v>11</v>
      </c>
      <c r="B64" s="603">
        <v>42644</v>
      </c>
      <c r="C64" s="603">
        <v>43009</v>
      </c>
      <c r="D64" s="212" t="s">
        <v>1937</v>
      </c>
      <c r="E64" s="1552" t="s">
        <v>1936</v>
      </c>
      <c r="F64" s="1303" t="s">
        <v>1938</v>
      </c>
      <c r="G64" s="212">
        <v>6270</v>
      </c>
      <c r="H64" s="212">
        <v>6270</v>
      </c>
      <c r="I64" s="212"/>
      <c r="J64" s="212"/>
      <c r="K64" s="212" t="s">
        <v>1939</v>
      </c>
      <c r="L64" s="213" t="s">
        <v>1940</v>
      </c>
    </row>
    <row r="65" spans="1:12" ht="90">
      <c r="A65" s="212" t="s">
        <v>11</v>
      </c>
      <c r="B65" s="603">
        <v>42644</v>
      </c>
      <c r="C65" s="603">
        <v>43009</v>
      </c>
      <c r="D65" s="595" t="s">
        <v>1251</v>
      </c>
      <c r="E65" s="1553" t="s">
        <v>1944</v>
      </c>
      <c r="F65" s="953" t="s">
        <v>1941</v>
      </c>
      <c r="G65" s="212">
        <v>1718</v>
      </c>
      <c r="H65" s="212">
        <v>1718</v>
      </c>
      <c r="I65" s="212"/>
      <c r="J65" s="212"/>
      <c r="K65" s="212" t="s">
        <v>1942</v>
      </c>
      <c r="L65" s="213" t="s">
        <v>1943</v>
      </c>
    </row>
    <row r="66" spans="1:12" ht="30">
      <c r="A66" s="212" t="s">
        <v>11</v>
      </c>
      <c r="B66" s="603">
        <v>42644</v>
      </c>
      <c r="C66" s="603">
        <v>43009</v>
      </c>
      <c r="D66" s="212" t="s">
        <v>116</v>
      </c>
      <c r="E66" s="212" t="s">
        <v>1928</v>
      </c>
      <c r="F66" s="953" t="s">
        <v>1948</v>
      </c>
      <c r="G66" s="212">
        <f>7074+2370</f>
        <v>9444</v>
      </c>
      <c r="H66" s="212">
        <f>7074+2370</f>
        <v>9444</v>
      </c>
      <c r="I66" s="212"/>
      <c r="J66" s="212"/>
      <c r="K66" s="212" t="s">
        <v>1946</v>
      </c>
      <c r="L66" s="213" t="s">
        <v>1945</v>
      </c>
    </row>
    <row r="67" spans="1:12">
      <c r="A67" s="212"/>
      <c r="B67" s="603"/>
      <c r="C67" s="603"/>
      <c r="D67" s="212"/>
      <c r="E67" s="212" t="s">
        <v>1928</v>
      </c>
      <c r="F67" s="953" t="s">
        <v>1948</v>
      </c>
      <c r="G67" s="212">
        <f>24*180</f>
        <v>4320</v>
      </c>
      <c r="H67" s="212">
        <v>4320</v>
      </c>
      <c r="I67" s="212"/>
      <c r="J67" s="212"/>
      <c r="K67" s="212" t="s">
        <v>1947</v>
      </c>
      <c r="L67" s="212" t="s">
        <v>1979</v>
      </c>
    </row>
    <row r="68" spans="1:12">
      <c r="A68" s="212"/>
      <c r="B68" s="603"/>
      <c r="C68" s="603"/>
      <c r="D68" s="212"/>
      <c r="E68" s="212" t="s">
        <v>1928</v>
      </c>
      <c r="F68" s="953" t="s">
        <v>1950</v>
      </c>
      <c r="G68" s="212">
        <v>20754</v>
      </c>
      <c r="H68" s="212">
        <v>20754</v>
      </c>
      <c r="I68" s="212"/>
      <c r="J68" s="212"/>
      <c r="K68" s="212" t="s">
        <v>1949</v>
      </c>
      <c r="L68" s="212" t="s">
        <v>1979</v>
      </c>
    </row>
    <row r="69" spans="1:12">
      <c r="A69" s="212" t="s">
        <v>11</v>
      </c>
      <c r="B69" s="603">
        <v>42552</v>
      </c>
      <c r="C69" s="603">
        <v>42917</v>
      </c>
      <c r="D69" s="212" t="s">
        <v>1981</v>
      </c>
      <c r="E69" s="1552" t="s">
        <v>1982</v>
      </c>
      <c r="F69" s="212" t="s">
        <v>1983</v>
      </c>
      <c r="G69" s="212">
        <v>11000</v>
      </c>
      <c r="H69" s="212">
        <v>11000</v>
      </c>
      <c r="I69" s="212"/>
      <c r="J69" s="212"/>
      <c r="K69" s="212" t="s">
        <v>1980</v>
      </c>
      <c r="L69" s="212" t="s">
        <v>1984</v>
      </c>
    </row>
    <row r="70" spans="1:12" ht="30">
      <c r="A70" s="212" t="s">
        <v>11</v>
      </c>
      <c r="B70" s="603">
        <v>42675</v>
      </c>
      <c r="C70" s="603">
        <v>43040</v>
      </c>
      <c r="D70" s="212" t="s">
        <v>2028</v>
      </c>
      <c r="E70" s="1552" t="s">
        <v>2051</v>
      </c>
      <c r="F70" s="212" t="s">
        <v>2029</v>
      </c>
      <c r="G70" s="212">
        <v>2269</v>
      </c>
      <c r="H70" s="212">
        <v>2269</v>
      </c>
      <c r="I70" s="212"/>
      <c r="J70" s="212"/>
      <c r="K70" s="212" t="s">
        <v>2030</v>
      </c>
      <c r="L70" s="213" t="s">
        <v>2031</v>
      </c>
    </row>
    <row r="71" spans="1:12" ht="30">
      <c r="A71" s="212" t="s">
        <v>11</v>
      </c>
      <c r="B71" s="603">
        <v>42675</v>
      </c>
      <c r="C71" s="603">
        <v>43040</v>
      </c>
      <c r="D71" s="212" t="s">
        <v>1281</v>
      </c>
      <c r="E71" s="1552" t="s">
        <v>2046</v>
      </c>
      <c r="F71" s="212" t="s">
        <v>1882</v>
      </c>
      <c r="G71">
        <v>16964</v>
      </c>
      <c r="H71">
        <v>16964</v>
      </c>
      <c r="I71" s="212"/>
      <c r="J71" s="212"/>
      <c r="K71" s="212" t="s">
        <v>2049</v>
      </c>
      <c r="L71" s="213" t="s">
        <v>2050</v>
      </c>
    </row>
    <row r="72" spans="1:12">
      <c r="A72" s="212" t="s">
        <v>11</v>
      </c>
      <c r="B72" s="603">
        <v>42675</v>
      </c>
      <c r="C72" s="603">
        <v>43040</v>
      </c>
      <c r="D72" s="212" t="s">
        <v>2054</v>
      </c>
      <c r="E72" s="1552" t="s">
        <v>2055</v>
      </c>
      <c r="F72" s="212" t="s">
        <v>2056</v>
      </c>
      <c r="G72" s="212">
        <v>5500</v>
      </c>
      <c r="H72" s="212">
        <v>5500</v>
      </c>
      <c r="I72" s="212"/>
      <c r="J72" s="212"/>
      <c r="K72" s="212" t="s">
        <v>2052</v>
      </c>
      <c r="L72" s="212" t="s">
        <v>2053</v>
      </c>
    </row>
    <row r="73" spans="1:12">
      <c r="A73" s="212" t="s">
        <v>11</v>
      </c>
      <c r="B73" s="603">
        <v>42675</v>
      </c>
      <c r="C73" s="603">
        <v>43040</v>
      </c>
      <c r="D73" s="1552" t="s">
        <v>2057</v>
      </c>
      <c r="E73" s="1552" t="s">
        <v>2058</v>
      </c>
      <c r="F73" s="1620">
        <v>1420</v>
      </c>
      <c r="G73" s="1552">
        <v>0</v>
      </c>
      <c r="H73" s="1552">
        <v>0</v>
      </c>
      <c r="I73" s="212"/>
      <c r="J73" s="212"/>
      <c r="K73" s="212" t="s">
        <v>2059</v>
      </c>
      <c r="L73" s="212" t="s">
        <v>2060</v>
      </c>
    </row>
    <row r="74" spans="1:12">
      <c r="A74" s="212" t="s">
        <v>11</v>
      </c>
      <c r="B74" s="603">
        <v>42675</v>
      </c>
      <c r="C74" s="603">
        <v>43040</v>
      </c>
      <c r="D74" s="212" t="s">
        <v>2070</v>
      </c>
      <c r="E74" s="1619" t="s">
        <v>2071</v>
      </c>
      <c r="F74" s="947" t="s">
        <v>2072</v>
      </c>
      <c r="G74" s="947">
        <v>3600</v>
      </c>
      <c r="H74" s="947">
        <v>3600</v>
      </c>
      <c r="I74" s="947"/>
      <c r="J74" s="947"/>
      <c r="K74" s="947" t="s">
        <v>2068</v>
      </c>
      <c r="L74" s="212" t="s">
        <v>2069</v>
      </c>
    </row>
    <row r="75" spans="1:12" ht="45">
      <c r="A75" s="212" t="s">
        <v>11</v>
      </c>
      <c r="B75" s="603">
        <v>42705</v>
      </c>
      <c r="C75" s="603">
        <v>43070</v>
      </c>
      <c r="D75" s="595" t="s">
        <v>1810</v>
      </c>
      <c r="E75" s="213" t="s">
        <v>1811</v>
      </c>
      <c r="F75" s="1303" t="s">
        <v>1812</v>
      </c>
      <c r="G75" s="1304">
        <v>22360</v>
      </c>
      <c r="H75" s="212">
        <v>22360</v>
      </c>
      <c r="I75" s="212"/>
      <c r="J75" s="212"/>
      <c r="K75" s="539" t="s">
        <v>2073</v>
      </c>
      <c r="L75" s="213" t="s">
        <v>2074</v>
      </c>
    </row>
    <row r="76" spans="1:12">
      <c r="A76" s="212" t="s">
        <v>11</v>
      </c>
      <c r="B76" s="603">
        <v>42705</v>
      </c>
      <c r="C76" s="603">
        <v>43070</v>
      </c>
      <c r="D76" s="212" t="s">
        <v>2077</v>
      </c>
      <c r="E76" s="1552" t="s">
        <v>2078</v>
      </c>
      <c r="F76" s="948" t="s">
        <v>2079</v>
      </c>
      <c r="G76" s="212">
        <v>1083</v>
      </c>
      <c r="H76" s="212">
        <v>1083</v>
      </c>
      <c r="I76" s="212"/>
      <c r="J76" s="212"/>
      <c r="K76" s="212" t="s">
        <v>2075</v>
      </c>
      <c r="L76" s="212" t="s">
        <v>2076</v>
      </c>
    </row>
    <row r="77" spans="1:12">
      <c r="A77" s="212" t="s">
        <v>11</v>
      </c>
      <c r="B77" s="603">
        <v>42736</v>
      </c>
      <c r="C77" s="603">
        <v>43101</v>
      </c>
      <c r="D77" s="212" t="s">
        <v>2082</v>
      </c>
      <c r="E77" s="1552" t="s">
        <v>2083</v>
      </c>
      <c r="F77" s="257" t="s">
        <v>2084</v>
      </c>
      <c r="G77" s="212">
        <v>21758</v>
      </c>
      <c r="H77" s="212">
        <v>21758</v>
      </c>
      <c r="I77" s="212"/>
      <c r="J77" s="212"/>
      <c r="K77" s="212" t="s">
        <v>2081</v>
      </c>
      <c r="L77" s="212" t="s">
        <v>2080</v>
      </c>
    </row>
    <row r="78" spans="1:12">
      <c r="A78" s="212" t="s">
        <v>11</v>
      </c>
      <c r="B78" s="603">
        <v>42736</v>
      </c>
      <c r="C78" s="603">
        <v>43101</v>
      </c>
      <c r="D78" s="212" t="s">
        <v>2088</v>
      </c>
      <c r="E78" s="1626" t="s">
        <v>2087</v>
      </c>
      <c r="F78" s="257" t="s">
        <v>2089</v>
      </c>
      <c r="G78" s="212">
        <v>12712</v>
      </c>
      <c r="H78" s="212">
        <v>12712</v>
      </c>
      <c r="I78" s="212"/>
      <c r="J78" s="212"/>
      <c r="K78" s="212" t="s">
        <v>2086</v>
      </c>
      <c r="L78" s="212" t="s">
        <v>2085</v>
      </c>
    </row>
    <row r="79" spans="1:12" ht="60">
      <c r="A79" s="212" t="s">
        <v>11</v>
      </c>
      <c r="B79" s="603">
        <v>42736</v>
      </c>
      <c r="C79" s="603">
        <v>43101</v>
      </c>
      <c r="D79" s="212" t="s">
        <v>2091</v>
      </c>
      <c r="E79" s="1552" t="s">
        <v>2090</v>
      </c>
      <c r="F79" s="257" t="s">
        <v>2131</v>
      </c>
      <c r="G79" s="212">
        <v>559750</v>
      </c>
      <c r="H79" s="212">
        <v>559750</v>
      </c>
      <c r="I79" s="212"/>
      <c r="J79" s="212"/>
      <c r="K79" s="212" t="s">
        <v>2092</v>
      </c>
      <c r="L79" s="213" t="s">
        <v>2132</v>
      </c>
    </row>
    <row r="80" spans="1:12" ht="45">
      <c r="A80" s="212" t="s">
        <v>11</v>
      </c>
      <c r="B80" s="603">
        <v>42767</v>
      </c>
      <c r="C80" s="603">
        <v>43132</v>
      </c>
      <c r="D80" s="212" t="s">
        <v>2091</v>
      </c>
      <c r="E80" s="1552" t="s">
        <v>2129</v>
      </c>
      <c r="F80" s="212" t="s">
        <v>2130</v>
      </c>
      <c r="G80" s="212">
        <v>92614.75</v>
      </c>
      <c r="H80" s="212">
        <v>92614.75</v>
      </c>
      <c r="I80" s="212"/>
      <c r="J80" s="212"/>
      <c r="K80" s="212" t="s">
        <v>2128</v>
      </c>
      <c r="L80" s="213" t="s">
        <v>2133</v>
      </c>
    </row>
    <row r="81" spans="1:12" ht="30">
      <c r="A81" s="212" t="s">
        <v>11</v>
      </c>
      <c r="B81" s="603">
        <v>42767</v>
      </c>
      <c r="C81" s="603">
        <v>43132</v>
      </c>
      <c r="D81" s="212" t="s">
        <v>2134</v>
      </c>
      <c r="E81" s="1552" t="s">
        <v>2135</v>
      </c>
      <c r="F81" s="212" t="s">
        <v>1882</v>
      </c>
      <c r="G81" s="212">
        <f>(55487-29413)*2</f>
        <v>52148</v>
      </c>
      <c r="H81" s="212">
        <f>(55487-29413)*2</f>
        <v>52148</v>
      </c>
      <c r="I81" s="212"/>
      <c r="J81" s="212"/>
      <c r="K81" s="212" t="s">
        <v>2136</v>
      </c>
      <c r="L81" s="213" t="s">
        <v>2137</v>
      </c>
    </row>
    <row r="82" spans="1:12" ht="30">
      <c r="A82" s="212" t="s">
        <v>11</v>
      </c>
      <c r="B82" s="603">
        <v>42795</v>
      </c>
      <c r="C82" s="603">
        <v>43160</v>
      </c>
      <c r="D82" s="212" t="s">
        <v>2141</v>
      </c>
      <c r="E82" s="1552" t="s">
        <v>2138</v>
      </c>
      <c r="F82" s="212">
        <v>1</v>
      </c>
      <c r="G82" s="212">
        <f>485000-340000</f>
        <v>145000</v>
      </c>
      <c r="H82" s="212">
        <f>485000-340000</f>
        <v>145000</v>
      </c>
      <c r="I82" s="212"/>
      <c r="J82" s="212"/>
      <c r="K82" s="212" t="s">
        <v>2139</v>
      </c>
      <c r="L82" s="213" t="s">
        <v>2140</v>
      </c>
    </row>
    <row r="83" spans="1:12" ht="75">
      <c r="A83" s="212" t="s">
        <v>11</v>
      </c>
      <c r="B83" s="603">
        <v>42795</v>
      </c>
      <c r="C83" s="603">
        <v>43160</v>
      </c>
      <c r="D83" s="212" t="s">
        <v>2144</v>
      </c>
      <c r="E83" s="1552" t="s">
        <v>2145</v>
      </c>
      <c r="F83" s="212">
        <v>3</v>
      </c>
      <c r="G83" s="212">
        <v>43000</v>
      </c>
      <c r="H83" s="212">
        <v>43000</v>
      </c>
      <c r="I83" s="212"/>
      <c r="J83" s="212"/>
      <c r="K83" s="212" t="s">
        <v>2143</v>
      </c>
      <c r="L83" s="213" t="s">
        <v>2142</v>
      </c>
    </row>
    <row r="84" spans="1:12" ht="30">
      <c r="A84" s="212"/>
      <c r="B84" s="603"/>
      <c r="C84" s="603"/>
      <c r="D84" s="212"/>
      <c r="E84" s="1552"/>
      <c r="F84" s="213" t="s">
        <v>2146</v>
      </c>
      <c r="G84" s="212">
        <v>811000</v>
      </c>
      <c r="H84" s="212">
        <v>811000</v>
      </c>
      <c r="I84" s="212"/>
      <c r="J84" s="212"/>
      <c r="K84" s="212"/>
      <c r="L84" s="213"/>
    </row>
    <row r="85" spans="1:12" ht="30">
      <c r="F85" s="1550" t="s">
        <v>2147</v>
      </c>
      <c r="G85" s="1551">
        <f>SUM(G37:G84)/100000</f>
        <v>23.4590675</v>
      </c>
      <c r="H85" s="1651" t="s">
        <v>2148</v>
      </c>
    </row>
    <row r="87" spans="1:12">
      <c r="B87" s="5"/>
      <c r="D87" s="5"/>
      <c r="F87" s="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22"/>
  <sheetViews>
    <sheetView workbookViewId="0">
      <selection activeCell="E8" sqref="E8"/>
    </sheetView>
  </sheetViews>
  <sheetFormatPr defaultRowHeight="15"/>
  <cols>
    <col min="1" max="1" width="4.5703125" style="501" bestFit="1" customWidth="1"/>
    <col min="2" max="2" width="11" style="501" bestFit="1" customWidth="1"/>
    <col min="3" max="3" width="10.42578125" style="501" bestFit="1" customWidth="1"/>
    <col min="4" max="4" width="8.42578125" style="501" bestFit="1" customWidth="1"/>
    <col min="5" max="5" width="40.140625" style="501" bestFit="1" customWidth="1"/>
    <col min="6" max="6" width="9.7109375" style="501" bestFit="1" customWidth="1"/>
    <col min="7" max="7" width="4.85546875" style="501" bestFit="1" customWidth="1"/>
    <col min="8" max="8" width="9.140625" style="501"/>
    <col min="9" max="9" width="4.7109375" style="501" bestFit="1" customWidth="1"/>
    <col min="10" max="10" width="4" style="501" bestFit="1" customWidth="1"/>
    <col min="11" max="11" width="8.7109375" style="501" bestFit="1" customWidth="1"/>
    <col min="12" max="12" width="10.140625" style="501" bestFit="1" customWidth="1"/>
    <col min="13" max="13" width="44.5703125" style="501" bestFit="1" customWidth="1"/>
    <col min="14" max="14" width="3.42578125" style="501" bestFit="1" customWidth="1"/>
    <col min="15" max="15" width="6" style="501" bestFit="1" customWidth="1"/>
    <col min="16" max="16" width="6.42578125" style="501" bestFit="1" customWidth="1"/>
    <col min="17" max="17" width="3.85546875" style="501" bestFit="1" customWidth="1"/>
    <col min="18" max="18" width="5.28515625" style="501" bestFit="1" customWidth="1"/>
    <col min="19" max="19" width="4.140625" style="501" bestFit="1" customWidth="1"/>
    <col min="20" max="20" width="10.85546875" style="501" bestFit="1" customWidth="1"/>
    <col min="21" max="21" width="41" style="501" bestFit="1" customWidth="1"/>
    <col min="22" max="22" width="2.28515625" style="501" bestFit="1" customWidth="1"/>
    <col min="23" max="23" width="2" style="501" bestFit="1" customWidth="1"/>
    <col min="24" max="24" width="1.5703125" style="501" bestFit="1" customWidth="1"/>
    <col min="25" max="25" width="2.28515625" style="501" bestFit="1" customWidth="1"/>
    <col min="26" max="26" width="10.85546875" style="501" bestFit="1" customWidth="1"/>
    <col min="27" max="27" width="5.42578125" style="501" bestFit="1" customWidth="1"/>
    <col min="28" max="28" width="5.7109375" style="501" bestFit="1" customWidth="1"/>
    <col min="29" max="29" width="6" style="501" bestFit="1" customWidth="1"/>
    <col min="30" max="30" width="2" style="501" bestFit="1" customWidth="1"/>
    <col min="31" max="31" width="8.5703125" style="501" bestFit="1" customWidth="1"/>
    <col min="32" max="32" width="3.42578125" style="501" bestFit="1" customWidth="1"/>
    <col min="33" max="33" width="11.140625" style="501" bestFit="1" customWidth="1"/>
    <col min="34" max="34" width="11" style="501" bestFit="1" customWidth="1"/>
    <col min="35" max="35" width="4.140625" style="501" bestFit="1" customWidth="1"/>
    <col min="36" max="36" width="5.140625" style="501" bestFit="1" customWidth="1"/>
    <col min="37" max="37" width="7.7109375" style="501" bestFit="1" customWidth="1"/>
    <col min="38" max="38" width="3.85546875" style="501" bestFit="1" customWidth="1"/>
    <col min="39" max="39" width="6.140625" style="501" bestFit="1" customWidth="1"/>
    <col min="40" max="40" width="36.85546875" style="501" bestFit="1" customWidth="1"/>
    <col min="41" max="41" width="4.85546875" style="501" bestFit="1" customWidth="1"/>
    <col min="42" max="42" width="7.5703125" style="501" bestFit="1" customWidth="1"/>
    <col min="43" max="43" width="1.5703125" style="501" bestFit="1" customWidth="1"/>
    <col min="44" max="44" width="7.85546875" style="501" bestFit="1" customWidth="1"/>
    <col min="45" max="45" width="9.140625" style="501"/>
    <col min="46" max="46" width="11.85546875" style="501" bestFit="1" customWidth="1"/>
    <col min="47" max="47" width="8.140625" style="501" bestFit="1" customWidth="1"/>
    <col min="48" max="48" width="9.42578125" style="501" bestFit="1" customWidth="1"/>
    <col min="49" max="49" width="3.42578125" style="501" bestFit="1" customWidth="1"/>
    <col min="50" max="50" width="11" style="501" bestFit="1" customWidth="1"/>
    <col min="51" max="51" width="9.7109375" style="501" bestFit="1" customWidth="1"/>
    <col min="52" max="52" width="8.7109375" style="501" bestFit="1" customWidth="1"/>
    <col min="53" max="53" width="4.85546875" style="501" bestFit="1" customWidth="1"/>
    <col min="54" max="54" width="9.140625" style="501"/>
    <col min="55" max="55" width="11.5703125" style="501" bestFit="1" customWidth="1"/>
    <col min="56" max="56" width="11.140625" style="501" bestFit="1" customWidth="1"/>
    <col min="57" max="57" width="9.7109375" style="501" bestFit="1" customWidth="1"/>
    <col min="58" max="58" width="8.7109375" style="501" bestFit="1" customWidth="1"/>
    <col min="59" max="59" width="11.7109375" style="501" bestFit="1" customWidth="1"/>
    <col min="60" max="61" width="8" style="501" bestFit="1" customWidth="1"/>
    <col min="62" max="62" width="9.140625" style="501"/>
    <col min="63" max="63" width="9.7109375" style="501" bestFit="1" customWidth="1"/>
    <col min="64" max="66" width="9.5703125" style="501" bestFit="1" customWidth="1"/>
    <col min="67" max="67" width="8.28515625" style="501" bestFit="1" customWidth="1"/>
    <col min="68" max="68" width="9.85546875" style="501" bestFit="1" customWidth="1"/>
    <col min="69" max="69" width="8.42578125" style="501" bestFit="1" customWidth="1"/>
    <col min="70" max="16384" width="9.140625" style="501"/>
  </cols>
  <sheetData>
    <row r="1" spans="1:69">
      <c r="A1" s="501" t="s">
        <v>402</v>
      </c>
      <c r="B1" s="501" t="s">
        <v>1466</v>
      </c>
      <c r="C1" s="941" t="s">
        <v>1467</v>
      </c>
      <c r="D1" s="501" t="s">
        <v>404</v>
      </c>
      <c r="E1" s="501" t="s">
        <v>405</v>
      </c>
      <c r="F1" s="941" t="s">
        <v>1471</v>
      </c>
      <c r="G1" s="941" t="s">
        <v>1622</v>
      </c>
      <c r="H1" s="941" t="s">
        <v>1468</v>
      </c>
      <c r="I1" s="941" t="s">
        <v>1623</v>
      </c>
      <c r="J1" s="941" t="s">
        <v>1624</v>
      </c>
      <c r="K1" s="941" t="s">
        <v>406</v>
      </c>
      <c r="L1" s="941"/>
      <c r="M1" s="501" t="s">
        <v>1470</v>
      </c>
      <c r="N1" s="501" t="s">
        <v>1625</v>
      </c>
      <c r="O1" s="501" t="s">
        <v>4</v>
      </c>
      <c r="P1" s="501" t="s">
        <v>1626</v>
      </c>
      <c r="Q1" s="501" t="s">
        <v>1627</v>
      </c>
      <c r="R1" s="501" t="s">
        <v>1628</v>
      </c>
      <c r="S1" s="501" t="s">
        <v>415</v>
      </c>
      <c r="T1" s="501" t="s">
        <v>1629</v>
      </c>
      <c r="U1" s="501" t="s">
        <v>1630</v>
      </c>
      <c r="V1" s="501" t="s">
        <v>90</v>
      </c>
      <c r="W1" s="501" t="s">
        <v>1631</v>
      </c>
      <c r="X1" s="501" t="s">
        <v>1631</v>
      </c>
      <c r="Y1" s="501" t="s">
        <v>73</v>
      </c>
      <c r="Z1" s="501" t="s">
        <v>1632</v>
      </c>
      <c r="AA1" s="501" t="s">
        <v>1633</v>
      </c>
      <c r="AB1" s="501" t="s">
        <v>1634</v>
      </c>
      <c r="AC1" s="501" t="s">
        <v>4</v>
      </c>
      <c r="AD1" s="501" t="s">
        <v>416</v>
      </c>
      <c r="AE1" s="501" t="s">
        <v>1635</v>
      </c>
      <c r="AF1" s="501" t="s">
        <v>1636</v>
      </c>
      <c r="AG1" s="501" t="s">
        <v>1637</v>
      </c>
      <c r="AH1" s="501" t="s">
        <v>1638</v>
      </c>
      <c r="AI1" s="501" t="s">
        <v>1639</v>
      </c>
      <c r="AJ1" s="501" t="s">
        <v>1640</v>
      </c>
      <c r="AK1" s="501" t="s">
        <v>1641</v>
      </c>
      <c r="AL1" s="501" t="s">
        <v>418</v>
      </c>
      <c r="AM1" s="501" t="s">
        <v>1642</v>
      </c>
      <c r="AN1" s="501" t="s">
        <v>1643</v>
      </c>
      <c r="AO1" s="501" t="s">
        <v>1644</v>
      </c>
      <c r="AP1" s="501" t="s">
        <v>1645</v>
      </c>
      <c r="AQ1" s="501" t="s">
        <v>1631</v>
      </c>
      <c r="AR1" s="501" t="s">
        <v>1646</v>
      </c>
      <c r="AS1" s="501" t="s">
        <v>1647</v>
      </c>
      <c r="AT1" s="501" t="s">
        <v>1648</v>
      </c>
      <c r="AU1" s="501" t="s">
        <v>1649</v>
      </c>
      <c r="AV1" s="501" t="s">
        <v>1650</v>
      </c>
      <c r="AW1" s="501" t="s">
        <v>1651</v>
      </c>
      <c r="AX1" s="501" t="s">
        <v>1652</v>
      </c>
      <c r="AY1" s="501" t="s">
        <v>1653</v>
      </c>
      <c r="AZ1" s="941" t="s">
        <v>406</v>
      </c>
      <c r="BA1" s="941" t="s">
        <v>1469</v>
      </c>
      <c r="BB1" s="941" t="s">
        <v>1654</v>
      </c>
      <c r="BC1" s="941" t="s">
        <v>1655</v>
      </c>
      <c r="BD1" s="941" t="s">
        <v>1656</v>
      </c>
      <c r="BE1" s="941" t="s">
        <v>1657</v>
      </c>
      <c r="BF1" s="941" t="s">
        <v>406</v>
      </c>
      <c r="BG1" s="941" t="s">
        <v>1658</v>
      </c>
      <c r="BH1" s="941" t="s">
        <v>1659</v>
      </c>
      <c r="BI1" s="941" t="s">
        <v>1660</v>
      </c>
      <c r="BJ1" s="941" t="s">
        <v>1661</v>
      </c>
      <c r="BK1" s="941" t="s">
        <v>1471</v>
      </c>
      <c r="BL1" s="941" t="s">
        <v>1662</v>
      </c>
      <c r="BM1" s="941" t="s">
        <v>1662</v>
      </c>
      <c r="BN1" s="941" t="s">
        <v>1663</v>
      </c>
      <c r="BO1" s="941" t="s">
        <v>1638</v>
      </c>
      <c r="BP1" s="941" t="s">
        <v>1664</v>
      </c>
      <c r="BQ1" s="941" t="s">
        <v>1665</v>
      </c>
    </row>
    <row r="2" spans="1:69">
      <c r="A2" s="492" t="s">
        <v>423</v>
      </c>
      <c r="B2" s="492" t="s">
        <v>1666</v>
      </c>
      <c r="C2" s="1387">
        <v>42590</v>
      </c>
      <c r="D2" s="492" t="s">
        <v>1667</v>
      </c>
      <c r="E2" s="492" t="s">
        <v>1668</v>
      </c>
      <c r="F2" s="493">
        <v>10</v>
      </c>
      <c r="G2" s="492" t="s">
        <v>192</v>
      </c>
      <c r="H2" s="500">
        <v>973.88</v>
      </c>
      <c r="I2" s="492" t="s">
        <v>515</v>
      </c>
      <c r="J2" s="1388">
        <v>1</v>
      </c>
      <c r="K2" s="493">
        <v>10</v>
      </c>
      <c r="L2" s="493">
        <f>K2*(H3-H2)</f>
        <v>301.20000000000005</v>
      </c>
      <c r="M2" s="492" t="s">
        <v>1669</v>
      </c>
      <c r="N2" s="492" t="s">
        <v>1670</v>
      </c>
      <c r="O2" s="492" t="s">
        <v>152</v>
      </c>
      <c r="P2" s="492" t="s">
        <v>1671</v>
      </c>
      <c r="Q2" s="492" t="s">
        <v>95</v>
      </c>
      <c r="R2" s="492" t="s">
        <v>423</v>
      </c>
      <c r="S2" s="492" t="s">
        <v>430</v>
      </c>
      <c r="T2" s="492" t="s">
        <v>1672</v>
      </c>
      <c r="U2" s="492" t="s">
        <v>432</v>
      </c>
      <c r="V2" s="492" t="s">
        <v>432</v>
      </c>
      <c r="W2" s="492" t="s">
        <v>1673</v>
      </c>
      <c r="X2" s="492" t="s">
        <v>432</v>
      </c>
      <c r="Y2" s="492" t="s">
        <v>432</v>
      </c>
      <c r="Z2" s="492" t="s">
        <v>432</v>
      </c>
      <c r="AA2" s="492" t="s">
        <v>432</v>
      </c>
      <c r="AB2" s="492" t="s">
        <v>432</v>
      </c>
      <c r="AC2" s="492" t="s">
        <v>1674</v>
      </c>
      <c r="AD2" s="492" t="s">
        <v>432</v>
      </c>
      <c r="AE2" s="492" t="s">
        <v>432</v>
      </c>
      <c r="AF2" s="492" t="s">
        <v>432</v>
      </c>
      <c r="AG2" s="492" t="s">
        <v>1675</v>
      </c>
      <c r="AH2" s="492" t="s">
        <v>1676</v>
      </c>
      <c r="AI2" s="492" t="s">
        <v>1677</v>
      </c>
      <c r="AJ2" s="492" t="s">
        <v>1678</v>
      </c>
      <c r="AK2" s="492" t="s">
        <v>695</v>
      </c>
      <c r="AL2" s="492" t="s">
        <v>695</v>
      </c>
      <c r="AM2" s="492" t="s">
        <v>432</v>
      </c>
      <c r="AN2" s="492" t="s">
        <v>1679</v>
      </c>
      <c r="AO2" s="492" t="s">
        <v>192</v>
      </c>
      <c r="AP2" s="492" t="s">
        <v>432</v>
      </c>
      <c r="AQ2" s="492" t="s">
        <v>432</v>
      </c>
      <c r="AR2" s="492" t="s">
        <v>432</v>
      </c>
      <c r="AS2" s="492" t="s">
        <v>432</v>
      </c>
      <c r="AT2" s="492" t="s">
        <v>432</v>
      </c>
      <c r="AU2" s="492" t="s">
        <v>1674</v>
      </c>
      <c r="AV2" s="492" t="s">
        <v>432</v>
      </c>
      <c r="AW2" s="492" t="s">
        <v>1680</v>
      </c>
      <c r="AX2" s="492" t="s">
        <v>1681</v>
      </c>
      <c r="AY2" s="492" t="s">
        <v>432</v>
      </c>
      <c r="AZ2" s="493">
        <v>10</v>
      </c>
      <c r="BA2" s="492" t="s">
        <v>192</v>
      </c>
      <c r="BB2" s="500">
        <v>0</v>
      </c>
      <c r="BC2" s="500">
        <v>0</v>
      </c>
      <c r="BD2" s="500">
        <v>0</v>
      </c>
      <c r="BE2" s="500">
        <v>0</v>
      </c>
      <c r="BF2" s="493">
        <v>0</v>
      </c>
      <c r="BG2" s="493">
        <v>0</v>
      </c>
      <c r="BH2" s="493">
        <v>0</v>
      </c>
      <c r="BI2" s="1387"/>
      <c r="BJ2" s="1387"/>
      <c r="BK2" s="500">
        <v>9738.7999999999993</v>
      </c>
      <c r="BL2" s="493">
        <v>10</v>
      </c>
      <c r="BM2" s="500">
        <v>9738.7999999999993</v>
      </c>
      <c r="BN2" s="1387"/>
      <c r="BO2" s="500">
        <v>1</v>
      </c>
      <c r="BP2" s="500">
        <v>9738.7999999999993</v>
      </c>
      <c r="BQ2" s="493">
        <v>0</v>
      </c>
    </row>
    <row r="3" spans="1:69">
      <c r="A3" s="492" t="s">
        <v>423</v>
      </c>
      <c r="B3" s="492" t="s">
        <v>1682</v>
      </c>
      <c r="C3" s="1387">
        <v>42257</v>
      </c>
      <c r="D3" s="492" t="s">
        <v>1667</v>
      </c>
      <c r="E3" s="492" t="s">
        <v>1668</v>
      </c>
      <c r="F3" s="493">
        <v>0</v>
      </c>
      <c r="G3" s="492" t="s">
        <v>192</v>
      </c>
      <c r="H3" s="1389">
        <v>1004</v>
      </c>
      <c r="I3" s="492" t="s">
        <v>515</v>
      </c>
      <c r="J3" s="1388">
        <v>1</v>
      </c>
      <c r="K3" s="493">
        <v>2</v>
      </c>
      <c r="L3" s="493"/>
      <c r="M3" s="492" t="s">
        <v>1669</v>
      </c>
      <c r="N3" s="492" t="s">
        <v>1683</v>
      </c>
      <c r="O3" s="492" t="s">
        <v>206</v>
      </c>
      <c r="P3" s="492" t="s">
        <v>1671</v>
      </c>
      <c r="Q3" s="492" t="s">
        <v>95</v>
      </c>
      <c r="R3" s="492" t="s">
        <v>423</v>
      </c>
      <c r="S3" s="492" t="s">
        <v>430</v>
      </c>
      <c r="T3" s="492" t="s">
        <v>1672</v>
      </c>
      <c r="U3" s="492" t="s">
        <v>1684</v>
      </c>
      <c r="V3" s="492" t="s">
        <v>432</v>
      </c>
      <c r="W3" s="492" t="s">
        <v>1673</v>
      </c>
      <c r="X3" s="492" t="s">
        <v>432</v>
      </c>
      <c r="Y3" s="492" t="s">
        <v>432</v>
      </c>
      <c r="Z3" s="492" t="s">
        <v>432</v>
      </c>
      <c r="AA3" s="492" t="s">
        <v>432</v>
      </c>
      <c r="AB3" s="492" t="s">
        <v>432</v>
      </c>
      <c r="AC3" s="492" t="s">
        <v>1674</v>
      </c>
      <c r="AD3" s="492" t="s">
        <v>432</v>
      </c>
      <c r="AE3" s="492" t="s">
        <v>432</v>
      </c>
      <c r="AF3" s="492" t="s">
        <v>432</v>
      </c>
      <c r="AG3" s="492" t="s">
        <v>1675</v>
      </c>
      <c r="AH3" s="492" t="s">
        <v>1676</v>
      </c>
      <c r="AI3" s="492" t="s">
        <v>1677</v>
      </c>
      <c r="AJ3" s="492" t="s">
        <v>1678</v>
      </c>
      <c r="AK3" s="492" t="s">
        <v>1685</v>
      </c>
      <c r="AL3" s="492" t="s">
        <v>513</v>
      </c>
      <c r="AM3" s="492" t="s">
        <v>432</v>
      </c>
      <c r="AN3" s="492" t="s">
        <v>1679</v>
      </c>
      <c r="AO3" s="492" t="s">
        <v>192</v>
      </c>
      <c r="AP3" s="492" t="s">
        <v>432</v>
      </c>
      <c r="AQ3" s="492" t="s">
        <v>432</v>
      </c>
      <c r="AR3" s="492" t="s">
        <v>432</v>
      </c>
      <c r="AS3" s="492" t="s">
        <v>432</v>
      </c>
      <c r="AT3" s="492" t="s">
        <v>432</v>
      </c>
      <c r="AU3" s="492" t="s">
        <v>1674</v>
      </c>
      <c r="AV3" s="492" t="s">
        <v>432</v>
      </c>
      <c r="AW3" s="492" t="s">
        <v>1680</v>
      </c>
      <c r="AX3" s="492" t="s">
        <v>1681</v>
      </c>
      <c r="AY3" s="492" t="s">
        <v>432</v>
      </c>
      <c r="AZ3" s="493">
        <v>2</v>
      </c>
      <c r="BA3" s="492" t="s">
        <v>192</v>
      </c>
      <c r="BB3" s="500">
        <v>0</v>
      </c>
      <c r="BC3" s="500">
        <v>0</v>
      </c>
      <c r="BD3" s="500">
        <v>0</v>
      </c>
      <c r="BE3" s="500">
        <v>0</v>
      </c>
      <c r="BF3" s="493">
        <v>0</v>
      </c>
      <c r="BG3" s="493">
        <v>0</v>
      </c>
      <c r="BH3" s="493">
        <v>0</v>
      </c>
      <c r="BI3" s="1387"/>
      <c r="BJ3" s="1387"/>
      <c r="BK3" s="500">
        <v>0</v>
      </c>
      <c r="BL3" s="493">
        <v>0</v>
      </c>
      <c r="BM3" s="500">
        <v>0</v>
      </c>
      <c r="BN3" s="1387"/>
      <c r="BO3" s="500">
        <v>1</v>
      </c>
      <c r="BP3" s="500">
        <v>2008</v>
      </c>
      <c r="BQ3" s="493">
        <v>0</v>
      </c>
    </row>
    <row r="4" spans="1:69">
      <c r="A4" s="492" t="s">
        <v>423</v>
      </c>
      <c r="B4" s="492" t="s">
        <v>1682</v>
      </c>
      <c r="C4" s="1387">
        <v>42257</v>
      </c>
      <c r="D4" s="492" t="s">
        <v>1667</v>
      </c>
      <c r="E4" s="492" t="s">
        <v>1668</v>
      </c>
      <c r="F4" s="493">
        <v>0</v>
      </c>
      <c r="G4" s="492" t="s">
        <v>192</v>
      </c>
      <c r="H4" s="1389">
        <v>1004</v>
      </c>
      <c r="I4" s="492" t="s">
        <v>515</v>
      </c>
      <c r="J4" s="1388">
        <v>1</v>
      </c>
      <c r="K4" s="493">
        <v>13</v>
      </c>
      <c r="L4" s="493"/>
      <c r="M4" s="492" t="s">
        <v>1669</v>
      </c>
      <c r="N4" s="492" t="s">
        <v>1670</v>
      </c>
      <c r="O4" s="492" t="s">
        <v>214</v>
      </c>
      <c r="P4" s="492" t="s">
        <v>1671</v>
      </c>
      <c r="Q4" s="492" t="s">
        <v>95</v>
      </c>
      <c r="R4" s="492" t="s">
        <v>423</v>
      </c>
      <c r="S4" s="492" t="s">
        <v>430</v>
      </c>
      <c r="T4" s="492" t="s">
        <v>1672</v>
      </c>
      <c r="U4" s="492" t="s">
        <v>1684</v>
      </c>
      <c r="V4" s="492" t="s">
        <v>432</v>
      </c>
      <c r="W4" s="492" t="s">
        <v>1673</v>
      </c>
      <c r="X4" s="492" t="s">
        <v>432</v>
      </c>
      <c r="Y4" s="492" t="s">
        <v>432</v>
      </c>
      <c r="Z4" s="492" t="s">
        <v>432</v>
      </c>
      <c r="AA4" s="492" t="s">
        <v>432</v>
      </c>
      <c r="AB4" s="492" t="s">
        <v>432</v>
      </c>
      <c r="AC4" s="492" t="s">
        <v>1674</v>
      </c>
      <c r="AD4" s="492" t="s">
        <v>432</v>
      </c>
      <c r="AE4" s="492" t="s">
        <v>432</v>
      </c>
      <c r="AF4" s="492" t="s">
        <v>432</v>
      </c>
      <c r="AG4" s="492" t="s">
        <v>1675</v>
      </c>
      <c r="AH4" s="492" t="s">
        <v>1676</v>
      </c>
      <c r="AI4" s="492" t="s">
        <v>1677</v>
      </c>
      <c r="AJ4" s="492" t="s">
        <v>1678</v>
      </c>
      <c r="AK4" s="492" t="s">
        <v>1685</v>
      </c>
      <c r="AL4" s="492" t="s">
        <v>513</v>
      </c>
      <c r="AM4" s="492" t="s">
        <v>432</v>
      </c>
      <c r="AN4" s="492" t="s">
        <v>1679</v>
      </c>
      <c r="AO4" s="492" t="s">
        <v>192</v>
      </c>
      <c r="AP4" s="492" t="s">
        <v>432</v>
      </c>
      <c r="AQ4" s="492" t="s">
        <v>432</v>
      </c>
      <c r="AR4" s="492" t="s">
        <v>432</v>
      </c>
      <c r="AS4" s="492" t="s">
        <v>432</v>
      </c>
      <c r="AT4" s="492" t="s">
        <v>432</v>
      </c>
      <c r="AU4" s="492" t="s">
        <v>1674</v>
      </c>
      <c r="AV4" s="492" t="s">
        <v>432</v>
      </c>
      <c r="AW4" s="492" t="s">
        <v>1680</v>
      </c>
      <c r="AX4" s="492" t="s">
        <v>1681</v>
      </c>
      <c r="AY4" s="492" t="s">
        <v>432</v>
      </c>
      <c r="AZ4" s="493">
        <v>13</v>
      </c>
      <c r="BA4" s="492" t="s">
        <v>192</v>
      </c>
      <c r="BB4" s="500">
        <v>0</v>
      </c>
      <c r="BC4" s="500">
        <v>0</v>
      </c>
      <c r="BD4" s="500">
        <v>0</v>
      </c>
      <c r="BE4" s="500">
        <v>0</v>
      </c>
      <c r="BF4" s="493">
        <v>0</v>
      </c>
      <c r="BG4" s="493">
        <v>0</v>
      </c>
      <c r="BH4" s="493">
        <v>0</v>
      </c>
      <c r="BI4" s="1387"/>
      <c r="BJ4" s="1387"/>
      <c r="BK4" s="500">
        <v>0</v>
      </c>
      <c r="BL4" s="493">
        <v>0</v>
      </c>
      <c r="BM4" s="500">
        <v>0</v>
      </c>
      <c r="BN4" s="1387"/>
      <c r="BO4" s="500">
        <v>1</v>
      </c>
      <c r="BP4" s="500">
        <v>13052</v>
      </c>
      <c r="BQ4" s="493">
        <v>0</v>
      </c>
    </row>
    <row r="5" spans="1:69">
      <c r="A5" s="492"/>
      <c r="B5" s="492"/>
      <c r="C5" s="1387"/>
      <c r="D5" s="492"/>
      <c r="E5" s="492"/>
      <c r="F5" s="493"/>
      <c r="G5" s="492"/>
      <c r="H5" s="500"/>
      <c r="I5" s="492"/>
      <c r="J5" s="1388"/>
      <c r="K5" s="493"/>
      <c r="L5" s="493"/>
      <c r="M5" s="492"/>
      <c r="N5" s="492"/>
      <c r="O5" s="492"/>
      <c r="P5" s="492"/>
      <c r="Q5" s="492"/>
      <c r="R5" s="492"/>
      <c r="S5" s="492"/>
      <c r="T5" s="492"/>
      <c r="U5" s="492"/>
      <c r="V5" s="492"/>
      <c r="W5" s="492"/>
      <c r="X5" s="492"/>
      <c r="Y5" s="492"/>
      <c r="Z5" s="492"/>
      <c r="AA5" s="492"/>
      <c r="AB5" s="492"/>
      <c r="AC5" s="492"/>
      <c r="AD5" s="492"/>
      <c r="AE5" s="492"/>
      <c r="AF5" s="492"/>
      <c r="AG5" s="492"/>
      <c r="AH5" s="492"/>
      <c r="AI5" s="492"/>
      <c r="AJ5" s="492"/>
      <c r="AK5" s="492"/>
      <c r="AL5" s="492"/>
      <c r="AM5" s="492"/>
      <c r="AN5" s="492"/>
      <c r="AO5" s="492"/>
      <c r="AP5" s="492"/>
      <c r="AQ5" s="492"/>
      <c r="AR5" s="492"/>
      <c r="AS5" s="492"/>
      <c r="AT5" s="492"/>
      <c r="AU5" s="492"/>
      <c r="AV5" s="492"/>
      <c r="AW5" s="492"/>
      <c r="AX5" s="492"/>
      <c r="AY5" s="492"/>
      <c r="AZ5" s="493"/>
      <c r="BA5" s="492"/>
      <c r="BB5" s="500"/>
      <c r="BC5" s="500"/>
      <c r="BD5" s="500"/>
      <c r="BE5" s="500"/>
      <c r="BF5" s="493"/>
      <c r="BG5" s="493"/>
      <c r="BH5" s="493"/>
      <c r="BI5" s="1387"/>
      <c r="BJ5" s="1387"/>
      <c r="BK5" s="500"/>
      <c r="BL5" s="493"/>
      <c r="BM5" s="500"/>
      <c r="BN5" s="1387"/>
      <c r="BO5" s="500"/>
      <c r="BP5" s="500"/>
      <c r="BQ5" s="493"/>
    </row>
    <row r="6" spans="1:69">
      <c r="A6" s="492" t="s">
        <v>423</v>
      </c>
      <c r="B6" s="492" t="s">
        <v>1666</v>
      </c>
      <c r="C6" s="1387">
        <v>42590</v>
      </c>
      <c r="D6" s="492" t="s">
        <v>1686</v>
      </c>
      <c r="E6" s="492" t="s">
        <v>1687</v>
      </c>
      <c r="F6" s="493">
        <v>10</v>
      </c>
      <c r="G6" s="492" t="s">
        <v>192</v>
      </c>
      <c r="H6" s="500">
        <v>189.15</v>
      </c>
      <c r="I6" s="492" t="s">
        <v>515</v>
      </c>
      <c r="J6" s="1388">
        <v>1</v>
      </c>
      <c r="K6" s="493">
        <v>10</v>
      </c>
      <c r="L6" s="493"/>
      <c r="M6" s="492" t="s">
        <v>1669</v>
      </c>
      <c r="N6" s="492" t="s">
        <v>1670</v>
      </c>
      <c r="O6" s="492" t="s">
        <v>202</v>
      </c>
      <c r="P6" s="492" t="s">
        <v>1671</v>
      </c>
      <c r="Q6" s="492" t="s">
        <v>95</v>
      </c>
      <c r="R6" s="492" t="s">
        <v>423</v>
      </c>
      <c r="S6" s="492" t="s">
        <v>430</v>
      </c>
      <c r="T6" s="492" t="s">
        <v>1672</v>
      </c>
      <c r="U6" s="492" t="s">
        <v>432</v>
      </c>
      <c r="V6" s="492" t="s">
        <v>432</v>
      </c>
      <c r="W6" s="492" t="s">
        <v>1673</v>
      </c>
      <c r="X6" s="492" t="s">
        <v>432</v>
      </c>
      <c r="Y6" s="492" t="s">
        <v>432</v>
      </c>
      <c r="Z6" s="492" t="s">
        <v>432</v>
      </c>
      <c r="AA6" s="492" t="s">
        <v>432</v>
      </c>
      <c r="AB6" s="492" t="s">
        <v>432</v>
      </c>
      <c r="AC6" s="492" t="s">
        <v>1674</v>
      </c>
      <c r="AD6" s="492" t="s">
        <v>432</v>
      </c>
      <c r="AE6" s="492" t="s">
        <v>432</v>
      </c>
      <c r="AF6" s="492" t="s">
        <v>432</v>
      </c>
      <c r="AG6" s="492" t="s">
        <v>1688</v>
      </c>
      <c r="AH6" s="492" t="s">
        <v>1676</v>
      </c>
      <c r="AI6" s="492" t="s">
        <v>1677</v>
      </c>
      <c r="AJ6" s="492" t="s">
        <v>1678</v>
      </c>
      <c r="AK6" s="492" t="s">
        <v>695</v>
      </c>
      <c r="AL6" s="492" t="s">
        <v>695</v>
      </c>
      <c r="AM6" s="492" t="s">
        <v>432</v>
      </c>
      <c r="AN6" s="492" t="s">
        <v>1679</v>
      </c>
      <c r="AO6" s="492" t="s">
        <v>192</v>
      </c>
      <c r="AP6" s="492" t="s">
        <v>432</v>
      </c>
      <c r="AQ6" s="492" t="s">
        <v>432</v>
      </c>
      <c r="AR6" s="492" t="s">
        <v>432</v>
      </c>
      <c r="AS6" s="492" t="s">
        <v>432</v>
      </c>
      <c r="AT6" s="492" t="s">
        <v>432</v>
      </c>
      <c r="AU6" s="492" t="s">
        <v>1674</v>
      </c>
      <c r="AV6" s="492" t="s">
        <v>432</v>
      </c>
      <c r="AW6" s="492" t="s">
        <v>1680</v>
      </c>
      <c r="AX6" s="492" t="s">
        <v>1681</v>
      </c>
      <c r="AY6" s="492" t="s">
        <v>432</v>
      </c>
      <c r="AZ6" s="493">
        <v>10</v>
      </c>
      <c r="BA6" s="492" t="s">
        <v>192</v>
      </c>
      <c r="BB6" s="500">
        <v>0</v>
      </c>
      <c r="BC6" s="500">
        <v>0</v>
      </c>
      <c r="BD6" s="500">
        <v>0</v>
      </c>
      <c r="BE6" s="500">
        <v>0</v>
      </c>
      <c r="BF6" s="493">
        <v>0</v>
      </c>
      <c r="BG6" s="493">
        <v>0</v>
      </c>
      <c r="BH6" s="493">
        <v>0</v>
      </c>
      <c r="BI6" s="1387"/>
      <c r="BJ6" s="1387"/>
      <c r="BK6" s="500">
        <v>1891.5</v>
      </c>
      <c r="BL6" s="493">
        <v>10</v>
      </c>
      <c r="BM6" s="500">
        <v>1891.5</v>
      </c>
      <c r="BN6" s="1387"/>
      <c r="BO6" s="500">
        <v>1</v>
      </c>
      <c r="BP6" s="500">
        <v>1891.5</v>
      </c>
      <c r="BQ6" s="493">
        <v>0</v>
      </c>
    </row>
    <row r="7" spans="1:69">
      <c r="A7" s="492"/>
      <c r="B7" s="492"/>
      <c r="C7" s="1387"/>
      <c r="D7" s="492"/>
      <c r="E7" s="492"/>
      <c r="F7" s="493"/>
      <c r="G7" s="492"/>
      <c r="H7" s="500"/>
      <c r="I7" s="492"/>
      <c r="J7" s="1388"/>
      <c r="K7" s="493"/>
      <c r="L7" s="493"/>
      <c r="M7" s="492"/>
      <c r="N7" s="492"/>
      <c r="O7" s="492"/>
      <c r="P7" s="492"/>
      <c r="Q7" s="492"/>
      <c r="R7" s="492"/>
      <c r="S7" s="492"/>
      <c r="T7" s="492"/>
      <c r="U7" s="492"/>
      <c r="V7" s="492"/>
      <c r="W7" s="492"/>
      <c r="X7" s="492"/>
      <c r="Y7" s="492"/>
      <c r="Z7" s="492"/>
      <c r="AA7" s="492"/>
      <c r="AB7" s="492"/>
      <c r="AC7" s="492"/>
      <c r="AD7" s="492"/>
      <c r="AE7" s="492"/>
      <c r="AF7" s="492"/>
      <c r="AG7" s="492"/>
      <c r="AH7" s="492"/>
      <c r="AI7" s="492"/>
      <c r="AJ7" s="492"/>
      <c r="AK7" s="492"/>
      <c r="AL7" s="492"/>
      <c r="AM7" s="492"/>
      <c r="AN7" s="492"/>
      <c r="AO7" s="492"/>
      <c r="AP7" s="492"/>
      <c r="AQ7" s="492"/>
      <c r="AR7" s="492"/>
      <c r="AS7" s="492"/>
      <c r="AT7" s="492"/>
      <c r="AU7" s="492"/>
      <c r="AV7" s="492"/>
      <c r="AW7" s="492"/>
      <c r="AX7" s="492"/>
      <c r="AY7" s="492"/>
      <c r="AZ7" s="493"/>
      <c r="BA7" s="492"/>
      <c r="BB7" s="500"/>
      <c r="BC7" s="500"/>
      <c r="BD7" s="500"/>
      <c r="BE7" s="500"/>
      <c r="BF7" s="493"/>
      <c r="BG7" s="493"/>
      <c r="BH7" s="493"/>
      <c r="BI7" s="1387"/>
      <c r="BJ7" s="1387"/>
      <c r="BK7" s="500"/>
      <c r="BL7" s="493"/>
      <c r="BM7" s="500"/>
      <c r="BN7" s="1387"/>
      <c r="BO7" s="500"/>
      <c r="BP7" s="500"/>
      <c r="BQ7" s="493"/>
    </row>
    <row r="8" spans="1:69">
      <c r="A8" s="492" t="s">
        <v>423</v>
      </c>
      <c r="B8" s="492" t="s">
        <v>1666</v>
      </c>
      <c r="C8" s="1387">
        <v>42590</v>
      </c>
      <c r="D8" s="492" t="s">
        <v>1689</v>
      </c>
      <c r="E8" s="492" t="s">
        <v>1690</v>
      </c>
      <c r="F8" s="493">
        <v>15</v>
      </c>
      <c r="G8" s="492" t="s">
        <v>192</v>
      </c>
      <c r="H8" s="500">
        <v>1151.3900000000001</v>
      </c>
      <c r="I8" s="492" t="s">
        <v>515</v>
      </c>
      <c r="J8" s="1388">
        <v>1</v>
      </c>
      <c r="K8" s="493">
        <v>15</v>
      </c>
      <c r="L8" s="493">
        <f>K8*(H9-H8)</f>
        <v>12691.649999999998</v>
      </c>
      <c r="M8" s="492" t="s">
        <v>1669</v>
      </c>
      <c r="N8" s="492" t="s">
        <v>1670</v>
      </c>
      <c r="O8" s="492" t="s">
        <v>140</v>
      </c>
      <c r="P8" s="492" t="s">
        <v>1671</v>
      </c>
      <c r="Q8" s="492" t="s">
        <v>95</v>
      </c>
      <c r="R8" s="492" t="s">
        <v>423</v>
      </c>
      <c r="S8" s="492" t="s">
        <v>430</v>
      </c>
      <c r="T8" s="492" t="s">
        <v>1672</v>
      </c>
      <c r="U8" s="492" t="s">
        <v>432</v>
      </c>
      <c r="V8" s="492" t="s">
        <v>432</v>
      </c>
      <c r="W8" s="492" t="s">
        <v>1673</v>
      </c>
      <c r="X8" s="492" t="s">
        <v>432</v>
      </c>
      <c r="Y8" s="492" t="s">
        <v>432</v>
      </c>
      <c r="Z8" s="492" t="s">
        <v>432</v>
      </c>
      <c r="AA8" s="492" t="s">
        <v>432</v>
      </c>
      <c r="AB8" s="492" t="s">
        <v>432</v>
      </c>
      <c r="AC8" s="492" t="s">
        <v>1674</v>
      </c>
      <c r="AD8" s="492" t="s">
        <v>432</v>
      </c>
      <c r="AE8" s="492" t="s">
        <v>432</v>
      </c>
      <c r="AF8" s="492" t="s">
        <v>432</v>
      </c>
      <c r="AG8" s="492" t="s">
        <v>1691</v>
      </c>
      <c r="AH8" s="492" t="s">
        <v>1676</v>
      </c>
      <c r="AI8" s="492" t="s">
        <v>1677</v>
      </c>
      <c r="AJ8" s="492" t="s">
        <v>1678</v>
      </c>
      <c r="AK8" s="492" t="s">
        <v>695</v>
      </c>
      <c r="AL8" s="492" t="s">
        <v>695</v>
      </c>
      <c r="AM8" s="492" t="s">
        <v>432</v>
      </c>
      <c r="AN8" s="492" t="s">
        <v>1679</v>
      </c>
      <c r="AO8" s="492" t="s">
        <v>192</v>
      </c>
      <c r="AP8" s="492" t="s">
        <v>432</v>
      </c>
      <c r="AQ8" s="492" t="s">
        <v>432</v>
      </c>
      <c r="AR8" s="492" t="s">
        <v>432</v>
      </c>
      <c r="AS8" s="492" t="s">
        <v>432</v>
      </c>
      <c r="AT8" s="492" t="s">
        <v>432</v>
      </c>
      <c r="AU8" s="492" t="s">
        <v>1674</v>
      </c>
      <c r="AV8" s="492" t="s">
        <v>432</v>
      </c>
      <c r="AW8" s="492" t="s">
        <v>1680</v>
      </c>
      <c r="AX8" s="492" t="s">
        <v>1681</v>
      </c>
      <c r="AY8" s="492" t="s">
        <v>432</v>
      </c>
      <c r="AZ8" s="493">
        <v>15</v>
      </c>
      <c r="BA8" s="492" t="s">
        <v>192</v>
      </c>
      <c r="BB8" s="500">
        <v>0</v>
      </c>
      <c r="BC8" s="500">
        <v>0</v>
      </c>
      <c r="BD8" s="500">
        <v>0</v>
      </c>
      <c r="BE8" s="500">
        <v>0</v>
      </c>
      <c r="BF8" s="493">
        <v>0</v>
      </c>
      <c r="BG8" s="493">
        <v>0</v>
      </c>
      <c r="BH8" s="493">
        <v>0</v>
      </c>
      <c r="BI8" s="1387"/>
      <c r="BJ8" s="1387"/>
      <c r="BK8" s="500">
        <v>17270.849999999999</v>
      </c>
      <c r="BL8" s="493">
        <v>15</v>
      </c>
      <c r="BM8" s="500">
        <v>17270.849999999999</v>
      </c>
      <c r="BN8" s="1387"/>
      <c r="BO8" s="500">
        <v>1</v>
      </c>
      <c r="BP8" s="500">
        <v>17270.849999999999</v>
      </c>
      <c r="BQ8" s="493">
        <v>0</v>
      </c>
    </row>
    <row r="9" spans="1:69">
      <c r="A9" s="492" t="s">
        <v>423</v>
      </c>
      <c r="B9" s="492" t="s">
        <v>1692</v>
      </c>
      <c r="C9" s="1387">
        <v>41764</v>
      </c>
      <c r="D9" s="492" t="s">
        <v>1689</v>
      </c>
      <c r="E9" s="492" t="s">
        <v>1690</v>
      </c>
      <c r="F9" s="493">
        <v>0</v>
      </c>
      <c r="G9" s="492" t="s">
        <v>192</v>
      </c>
      <c r="H9" s="1389">
        <v>1997.5</v>
      </c>
      <c r="I9" s="492" t="s">
        <v>515</v>
      </c>
      <c r="J9" s="1388">
        <v>1</v>
      </c>
      <c r="K9" s="493">
        <v>12</v>
      </c>
      <c r="L9" s="493"/>
      <c r="M9" s="492" t="s">
        <v>1693</v>
      </c>
      <c r="N9" s="492" t="s">
        <v>1694</v>
      </c>
      <c r="O9" s="492" t="s">
        <v>152</v>
      </c>
      <c r="P9" s="492" t="s">
        <v>1671</v>
      </c>
      <c r="Q9" s="492" t="s">
        <v>95</v>
      </c>
      <c r="R9" s="492" t="s">
        <v>423</v>
      </c>
      <c r="S9" s="492" t="s">
        <v>521</v>
      </c>
      <c r="T9" s="492" t="s">
        <v>1672</v>
      </c>
      <c r="U9" s="492" t="s">
        <v>1684</v>
      </c>
      <c r="V9" s="492" t="s">
        <v>432</v>
      </c>
      <c r="W9" s="492" t="s">
        <v>1673</v>
      </c>
      <c r="X9" s="492" t="s">
        <v>432</v>
      </c>
      <c r="Y9" s="492" t="s">
        <v>432</v>
      </c>
      <c r="Z9" s="492" t="s">
        <v>432</v>
      </c>
      <c r="AA9" s="492" t="s">
        <v>432</v>
      </c>
      <c r="AB9" s="492" t="s">
        <v>432</v>
      </c>
      <c r="AC9" s="492" t="s">
        <v>1674</v>
      </c>
      <c r="AD9" s="492" t="s">
        <v>432</v>
      </c>
      <c r="AE9" s="492" t="s">
        <v>432</v>
      </c>
      <c r="AF9" s="492" t="s">
        <v>432</v>
      </c>
      <c r="AG9" s="492" t="s">
        <v>1695</v>
      </c>
      <c r="AH9" s="492" t="s">
        <v>1676</v>
      </c>
      <c r="AI9" s="492" t="s">
        <v>1677</v>
      </c>
      <c r="AJ9" s="492" t="s">
        <v>1696</v>
      </c>
      <c r="AK9" s="492" t="s">
        <v>1697</v>
      </c>
      <c r="AL9" s="492" t="s">
        <v>513</v>
      </c>
      <c r="AM9" s="492" t="s">
        <v>432</v>
      </c>
      <c r="AN9" s="492" t="s">
        <v>1693</v>
      </c>
      <c r="AO9" s="492" t="s">
        <v>192</v>
      </c>
      <c r="AP9" s="492" t="s">
        <v>432</v>
      </c>
      <c r="AQ9" s="492" t="s">
        <v>432</v>
      </c>
      <c r="AR9" s="492" t="s">
        <v>432</v>
      </c>
      <c r="AS9" s="492" t="s">
        <v>432</v>
      </c>
      <c r="AT9" s="492" t="s">
        <v>432</v>
      </c>
      <c r="AU9" s="492" t="s">
        <v>1674</v>
      </c>
      <c r="AV9" s="492" t="s">
        <v>432</v>
      </c>
      <c r="AW9" s="492" t="s">
        <v>1680</v>
      </c>
      <c r="AX9" s="492" t="s">
        <v>1681</v>
      </c>
      <c r="AY9" s="492" t="s">
        <v>432</v>
      </c>
      <c r="AZ9" s="493">
        <v>12</v>
      </c>
      <c r="BA9" s="492" t="s">
        <v>192</v>
      </c>
      <c r="BB9" s="500">
        <v>0</v>
      </c>
      <c r="BC9" s="500">
        <v>0</v>
      </c>
      <c r="BD9" s="500">
        <v>0</v>
      </c>
      <c r="BE9" s="500">
        <v>0</v>
      </c>
      <c r="BF9" s="493">
        <v>0</v>
      </c>
      <c r="BG9" s="493">
        <v>0</v>
      </c>
      <c r="BH9" s="493">
        <v>0</v>
      </c>
      <c r="BI9" s="1387"/>
      <c r="BJ9" s="1387"/>
      <c r="BK9" s="500">
        <v>0</v>
      </c>
      <c r="BL9" s="493">
        <v>0</v>
      </c>
      <c r="BM9" s="500">
        <v>0</v>
      </c>
      <c r="BN9" s="1387"/>
      <c r="BO9" s="500">
        <v>1</v>
      </c>
      <c r="BP9" s="500">
        <v>23970</v>
      </c>
      <c r="BQ9" s="493">
        <v>0</v>
      </c>
    </row>
    <row r="10" spans="1:69">
      <c r="A10" s="492" t="s">
        <v>423</v>
      </c>
      <c r="B10" s="492" t="s">
        <v>1682</v>
      </c>
      <c r="C10" s="1387">
        <v>42257</v>
      </c>
      <c r="D10" s="492" t="s">
        <v>1689</v>
      </c>
      <c r="E10" s="492" t="s">
        <v>1690</v>
      </c>
      <c r="F10" s="493">
        <v>0</v>
      </c>
      <c r="G10" s="492" t="s">
        <v>192</v>
      </c>
      <c r="H10" s="1389">
        <v>1276</v>
      </c>
      <c r="I10" s="492" t="s">
        <v>515</v>
      </c>
      <c r="J10" s="1388">
        <v>1</v>
      </c>
      <c r="K10" s="493">
        <v>9</v>
      </c>
      <c r="L10" s="493"/>
      <c r="M10" s="492" t="s">
        <v>1669</v>
      </c>
      <c r="N10" s="492" t="s">
        <v>1683</v>
      </c>
      <c r="O10" s="492" t="s">
        <v>140</v>
      </c>
      <c r="P10" s="492" t="s">
        <v>1671</v>
      </c>
      <c r="Q10" s="492" t="s">
        <v>95</v>
      </c>
      <c r="R10" s="492" t="s">
        <v>423</v>
      </c>
      <c r="S10" s="492" t="s">
        <v>430</v>
      </c>
      <c r="T10" s="492" t="s">
        <v>1672</v>
      </c>
      <c r="U10" s="492" t="s">
        <v>1684</v>
      </c>
      <c r="V10" s="492" t="s">
        <v>432</v>
      </c>
      <c r="W10" s="492" t="s">
        <v>1673</v>
      </c>
      <c r="X10" s="492" t="s">
        <v>432</v>
      </c>
      <c r="Y10" s="492" t="s">
        <v>432</v>
      </c>
      <c r="Z10" s="492" t="s">
        <v>432</v>
      </c>
      <c r="AA10" s="492" t="s">
        <v>432</v>
      </c>
      <c r="AB10" s="492" t="s">
        <v>432</v>
      </c>
      <c r="AC10" s="492" t="s">
        <v>1674</v>
      </c>
      <c r="AD10" s="492" t="s">
        <v>432</v>
      </c>
      <c r="AE10" s="492" t="s">
        <v>432</v>
      </c>
      <c r="AF10" s="492" t="s">
        <v>432</v>
      </c>
      <c r="AG10" s="492" t="s">
        <v>1691</v>
      </c>
      <c r="AH10" s="492" t="s">
        <v>1676</v>
      </c>
      <c r="AI10" s="492" t="s">
        <v>1677</v>
      </c>
      <c r="AJ10" s="492" t="s">
        <v>1678</v>
      </c>
      <c r="AK10" s="492" t="s">
        <v>1685</v>
      </c>
      <c r="AL10" s="492" t="s">
        <v>513</v>
      </c>
      <c r="AM10" s="492" t="s">
        <v>432</v>
      </c>
      <c r="AN10" s="492" t="s">
        <v>1679</v>
      </c>
      <c r="AO10" s="492" t="s">
        <v>192</v>
      </c>
      <c r="AP10" s="492" t="s">
        <v>432</v>
      </c>
      <c r="AQ10" s="492" t="s">
        <v>432</v>
      </c>
      <c r="AR10" s="492" t="s">
        <v>432</v>
      </c>
      <c r="AS10" s="492" t="s">
        <v>432</v>
      </c>
      <c r="AT10" s="492" t="s">
        <v>432</v>
      </c>
      <c r="AU10" s="492" t="s">
        <v>1674</v>
      </c>
      <c r="AV10" s="492" t="s">
        <v>432</v>
      </c>
      <c r="AW10" s="492" t="s">
        <v>1680</v>
      </c>
      <c r="AX10" s="492" t="s">
        <v>1681</v>
      </c>
      <c r="AY10" s="492" t="s">
        <v>432</v>
      </c>
      <c r="AZ10" s="493">
        <v>9</v>
      </c>
      <c r="BA10" s="492" t="s">
        <v>192</v>
      </c>
      <c r="BB10" s="500">
        <v>0</v>
      </c>
      <c r="BC10" s="500">
        <v>0</v>
      </c>
      <c r="BD10" s="500">
        <v>0</v>
      </c>
      <c r="BE10" s="500">
        <v>0</v>
      </c>
      <c r="BF10" s="493">
        <v>0</v>
      </c>
      <c r="BG10" s="493">
        <v>0</v>
      </c>
      <c r="BH10" s="493">
        <v>0</v>
      </c>
      <c r="BI10" s="1387"/>
      <c r="BJ10" s="1387"/>
      <c r="BK10" s="500">
        <v>0</v>
      </c>
      <c r="BL10" s="493">
        <v>0</v>
      </c>
      <c r="BM10" s="500">
        <v>0</v>
      </c>
      <c r="BN10" s="1387"/>
      <c r="BO10" s="500">
        <v>1</v>
      </c>
      <c r="BP10" s="500">
        <v>11484</v>
      </c>
      <c r="BQ10" s="493">
        <v>0</v>
      </c>
    </row>
    <row r="11" spans="1:69">
      <c r="A11" s="492" t="s">
        <v>423</v>
      </c>
      <c r="B11" s="492" t="s">
        <v>1682</v>
      </c>
      <c r="C11" s="1387">
        <v>42257</v>
      </c>
      <c r="D11" s="492" t="s">
        <v>1689</v>
      </c>
      <c r="E11" s="492" t="s">
        <v>1690</v>
      </c>
      <c r="F11" s="493">
        <v>0</v>
      </c>
      <c r="G11" s="492" t="s">
        <v>192</v>
      </c>
      <c r="H11" s="1389">
        <v>1276</v>
      </c>
      <c r="I11" s="492" t="s">
        <v>515</v>
      </c>
      <c r="J11" s="1388">
        <v>1</v>
      </c>
      <c r="K11" s="493">
        <v>1</v>
      </c>
      <c r="L11" s="493"/>
      <c r="M11" s="492" t="s">
        <v>1669</v>
      </c>
      <c r="N11" s="492" t="s">
        <v>1670</v>
      </c>
      <c r="O11" s="492" t="s">
        <v>212</v>
      </c>
      <c r="P11" s="492" t="s">
        <v>1671</v>
      </c>
      <c r="Q11" s="492" t="s">
        <v>95</v>
      </c>
      <c r="R11" s="492" t="s">
        <v>423</v>
      </c>
      <c r="S11" s="492" t="s">
        <v>430</v>
      </c>
      <c r="T11" s="492" t="s">
        <v>1672</v>
      </c>
      <c r="U11" s="492" t="s">
        <v>1684</v>
      </c>
      <c r="V11" s="492" t="s">
        <v>432</v>
      </c>
      <c r="W11" s="492" t="s">
        <v>1673</v>
      </c>
      <c r="X11" s="492" t="s">
        <v>432</v>
      </c>
      <c r="Y11" s="492" t="s">
        <v>432</v>
      </c>
      <c r="Z11" s="492" t="s">
        <v>432</v>
      </c>
      <c r="AA11" s="492" t="s">
        <v>432</v>
      </c>
      <c r="AB11" s="492" t="s">
        <v>432</v>
      </c>
      <c r="AC11" s="492" t="s">
        <v>1674</v>
      </c>
      <c r="AD11" s="492" t="s">
        <v>432</v>
      </c>
      <c r="AE11" s="492" t="s">
        <v>432</v>
      </c>
      <c r="AF11" s="492" t="s">
        <v>432</v>
      </c>
      <c r="AG11" s="492" t="s">
        <v>1691</v>
      </c>
      <c r="AH11" s="492" t="s">
        <v>1676</v>
      </c>
      <c r="AI11" s="492" t="s">
        <v>1677</v>
      </c>
      <c r="AJ11" s="492" t="s">
        <v>1678</v>
      </c>
      <c r="AK11" s="492" t="s">
        <v>1685</v>
      </c>
      <c r="AL11" s="492" t="s">
        <v>513</v>
      </c>
      <c r="AM11" s="492" t="s">
        <v>432</v>
      </c>
      <c r="AN11" s="492" t="s">
        <v>1679</v>
      </c>
      <c r="AO11" s="492" t="s">
        <v>192</v>
      </c>
      <c r="AP11" s="492" t="s">
        <v>432</v>
      </c>
      <c r="AQ11" s="492" t="s">
        <v>432</v>
      </c>
      <c r="AR11" s="492" t="s">
        <v>432</v>
      </c>
      <c r="AS11" s="492" t="s">
        <v>432</v>
      </c>
      <c r="AT11" s="492" t="s">
        <v>432</v>
      </c>
      <c r="AU11" s="492" t="s">
        <v>1674</v>
      </c>
      <c r="AV11" s="492" t="s">
        <v>432</v>
      </c>
      <c r="AW11" s="492" t="s">
        <v>1680</v>
      </c>
      <c r="AX11" s="492" t="s">
        <v>1681</v>
      </c>
      <c r="AY11" s="492" t="s">
        <v>432</v>
      </c>
      <c r="AZ11" s="493">
        <v>1</v>
      </c>
      <c r="BA11" s="492" t="s">
        <v>192</v>
      </c>
      <c r="BB11" s="500">
        <v>0</v>
      </c>
      <c r="BC11" s="500">
        <v>0</v>
      </c>
      <c r="BD11" s="500">
        <v>0</v>
      </c>
      <c r="BE11" s="500">
        <v>0</v>
      </c>
      <c r="BF11" s="493">
        <v>0</v>
      </c>
      <c r="BG11" s="493">
        <v>0</v>
      </c>
      <c r="BH11" s="493">
        <v>0</v>
      </c>
      <c r="BI11" s="1387"/>
      <c r="BJ11" s="1387"/>
      <c r="BK11" s="500">
        <v>0</v>
      </c>
      <c r="BL11" s="493">
        <v>0</v>
      </c>
      <c r="BM11" s="500">
        <v>0</v>
      </c>
      <c r="BN11" s="1387"/>
      <c r="BO11" s="500">
        <v>1</v>
      </c>
      <c r="BP11" s="500">
        <v>1276</v>
      </c>
      <c r="BQ11" s="493">
        <v>0</v>
      </c>
    </row>
    <row r="12" spans="1:69">
      <c r="A12" s="492"/>
      <c r="B12" s="492"/>
      <c r="C12" s="1387"/>
      <c r="D12" s="492"/>
      <c r="E12" s="492"/>
      <c r="F12" s="493"/>
      <c r="G12" s="492"/>
      <c r="H12" s="500"/>
      <c r="I12" s="492"/>
      <c r="J12" s="1388"/>
      <c r="K12" s="493"/>
      <c r="L12" s="493"/>
      <c r="M12" s="492"/>
      <c r="N12" s="492"/>
      <c r="O12" s="492"/>
      <c r="P12" s="492"/>
      <c r="Q12" s="492"/>
      <c r="R12" s="492"/>
      <c r="S12" s="492"/>
      <c r="T12" s="492"/>
      <c r="U12" s="492"/>
      <c r="V12" s="492"/>
      <c r="W12" s="492"/>
      <c r="X12" s="492"/>
      <c r="Y12" s="492"/>
      <c r="Z12" s="492"/>
      <c r="AA12" s="492"/>
      <c r="AB12" s="492"/>
      <c r="AC12" s="492"/>
      <c r="AD12" s="492"/>
      <c r="AE12" s="492"/>
      <c r="AF12" s="492"/>
      <c r="AG12" s="492"/>
      <c r="AH12" s="492"/>
      <c r="AI12" s="492"/>
      <c r="AJ12" s="492"/>
      <c r="AK12" s="492"/>
      <c r="AL12" s="492"/>
      <c r="AM12" s="492"/>
      <c r="AN12" s="492"/>
      <c r="AO12" s="492"/>
      <c r="AP12" s="492"/>
      <c r="AQ12" s="492"/>
      <c r="AR12" s="492"/>
      <c r="AS12" s="492"/>
      <c r="AT12" s="492"/>
      <c r="AU12" s="492"/>
      <c r="AV12" s="492"/>
      <c r="AW12" s="492"/>
      <c r="AX12" s="492"/>
      <c r="AY12" s="492"/>
      <c r="AZ12" s="493"/>
      <c r="BA12" s="492"/>
      <c r="BB12" s="500"/>
      <c r="BC12" s="500"/>
      <c r="BD12" s="500"/>
      <c r="BE12" s="500"/>
      <c r="BF12" s="493"/>
      <c r="BG12" s="493"/>
      <c r="BH12" s="493"/>
      <c r="BI12" s="1387"/>
      <c r="BJ12" s="1387"/>
      <c r="BK12" s="500"/>
      <c r="BL12" s="493"/>
      <c r="BM12" s="500"/>
      <c r="BN12" s="1387"/>
      <c r="BO12" s="500"/>
      <c r="BP12" s="500"/>
      <c r="BQ12" s="493"/>
    </row>
    <row r="13" spans="1:69">
      <c r="A13" s="492" t="s">
        <v>423</v>
      </c>
      <c r="B13" s="492" t="s">
        <v>1666</v>
      </c>
      <c r="C13" s="1387">
        <v>42590</v>
      </c>
      <c r="D13" s="492" t="s">
        <v>1698</v>
      </c>
      <c r="E13" s="492" t="s">
        <v>1699</v>
      </c>
      <c r="F13" s="493">
        <v>15</v>
      </c>
      <c r="G13" s="492" t="s">
        <v>192</v>
      </c>
      <c r="H13" s="500">
        <v>654.75</v>
      </c>
      <c r="I13" s="492" t="s">
        <v>515</v>
      </c>
      <c r="J13" s="1388">
        <v>1</v>
      </c>
      <c r="K13" s="493">
        <v>15</v>
      </c>
      <c r="L13" s="493">
        <f>K13*(H14-H13)</f>
        <v>6116.25</v>
      </c>
      <c r="M13" s="492" t="s">
        <v>1669</v>
      </c>
      <c r="N13" s="492" t="s">
        <v>1670</v>
      </c>
      <c r="O13" s="492" t="s">
        <v>150</v>
      </c>
      <c r="P13" s="492" t="s">
        <v>1671</v>
      </c>
      <c r="Q13" s="492" t="s">
        <v>95</v>
      </c>
      <c r="R13" s="492" t="s">
        <v>423</v>
      </c>
      <c r="S13" s="492" t="s">
        <v>430</v>
      </c>
      <c r="T13" s="492" t="s">
        <v>1672</v>
      </c>
      <c r="U13" s="492" t="s">
        <v>432</v>
      </c>
      <c r="V13" s="492" t="s">
        <v>432</v>
      </c>
      <c r="W13" s="492" t="s">
        <v>1673</v>
      </c>
      <c r="X13" s="492" t="s">
        <v>432</v>
      </c>
      <c r="Y13" s="492" t="s">
        <v>432</v>
      </c>
      <c r="Z13" s="492" t="s">
        <v>432</v>
      </c>
      <c r="AA13" s="492" t="s">
        <v>432</v>
      </c>
      <c r="AB13" s="492" t="s">
        <v>432</v>
      </c>
      <c r="AC13" s="492" t="s">
        <v>1674</v>
      </c>
      <c r="AD13" s="492" t="s">
        <v>432</v>
      </c>
      <c r="AE13" s="492" t="s">
        <v>432</v>
      </c>
      <c r="AF13" s="492" t="s">
        <v>432</v>
      </c>
      <c r="AG13" s="492" t="s">
        <v>1700</v>
      </c>
      <c r="AH13" s="492" t="s">
        <v>1676</v>
      </c>
      <c r="AI13" s="492" t="s">
        <v>1677</v>
      </c>
      <c r="AJ13" s="492" t="s">
        <v>1678</v>
      </c>
      <c r="AK13" s="492" t="s">
        <v>695</v>
      </c>
      <c r="AL13" s="492" t="s">
        <v>695</v>
      </c>
      <c r="AM13" s="492" t="s">
        <v>432</v>
      </c>
      <c r="AN13" s="492" t="s">
        <v>1679</v>
      </c>
      <c r="AO13" s="492" t="s">
        <v>192</v>
      </c>
      <c r="AP13" s="492" t="s">
        <v>432</v>
      </c>
      <c r="AQ13" s="492" t="s">
        <v>432</v>
      </c>
      <c r="AR13" s="492" t="s">
        <v>432</v>
      </c>
      <c r="AS13" s="492" t="s">
        <v>432</v>
      </c>
      <c r="AT13" s="492" t="s">
        <v>432</v>
      </c>
      <c r="AU13" s="492" t="s">
        <v>1674</v>
      </c>
      <c r="AV13" s="492" t="s">
        <v>432</v>
      </c>
      <c r="AW13" s="492" t="s">
        <v>1680</v>
      </c>
      <c r="AX13" s="492" t="s">
        <v>1681</v>
      </c>
      <c r="AY13" s="492" t="s">
        <v>432</v>
      </c>
      <c r="AZ13" s="493">
        <v>15</v>
      </c>
      <c r="BA13" s="492" t="s">
        <v>192</v>
      </c>
      <c r="BB13" s="500">
        <v>0</v>
      </c>
      <c r="BC13" s="500">
        <v>0</v>
      </c>
      <c r="BD13" s="500">
        <v>0</v>
      </c>
      <c r="BE13" s="500">
        <v>0</v>
      </c>
      <c r="BF13" s="493">
        <v>0</v>
      </c>
      <c r="BG13" s="493">
        <v>0</v>
      </c>
      <c r="BH13" s="493">
        <v>0</v>
      </c>
      <c r="BI13" s="1387"/>
      <c r="BJ13" s="1387"/>
      <c r="BK13" s="500">
        <v>9821.25</v>
      </c>
      <c r="BL13" s="493">
        <v>15</v>
      </c>
      <c r="BM13" s="500">
        <v>9821.25</v>
      </c>
      <c r="BN13" s="1387"/>
      <c r="BO13" s="500">
        <v>1</v>
      </c>
      <c r="BP13" s="500">
        <v>9821.25</v>
      </c>
      <c r="BQ13" s="493">
        <v>0</v>
      </c>
    </row>
    <row r="14" spans="1:69">
      <c r="A14" s="492" t="s">
        <v>423</v>
      </c>
      <c r="B14" s="492" t="s">
        <v>1692</v>
      </c>
      <c r="C14" s="1387">
        <v>41764</v>
      </c>
      <c r="D14" s="492" t="s">
        <v>1698</v>
      </c>
      <c r="E14" s="492" t="s">
        <v>1699</v>
      </c>
      <c r="F14" s="493">
        <v>0</v>
      </c>
      <c r="G14" s="492" t="s">
        <v>192</v>
      </c>
      <c r="H14" s="500">
        <v>1062.5</v>
      </c>
      <c r="I14" s="492" t="s">
        <v>515</v>
      </c>
      <c r="J14" s="1388">
        <v>1</v>
      </c>
      <c r="K14" s="493">
        <v>12</v>
      </c>
      <c r="L14" s="493"/>
      <c r="M14" s="492" t="s">
        <v>1693</v>
      </c>
      <c r="N14" s="492" t="s">
        <v>1694</v>
      </c>
      <c r="O14" s="492" t="s">
        <v>150</v>
      </c>
      <c r="P14" s="492" t="s">
        <v>1671</v>
      </c>
      <c r="Q14" s="492" t="s">
        <v>95</v>
      </c>
      <c r="R14" s="492" t="s">
        <v>423</v>
      </c>
      <c r="S14" s="492" t="s">
        <v>521</v>
      </c>
      <c r="T14" s="492" t="s">
        <v>1672</v>
      </c>
      <c r="U14" s="492" t="s">
        <v>1684</v>
      </c>
      <c r="V14" s="492" t="s">
        <v>432</v>
      </c>
      <c r="W14" s="492" t="s">
        <v>1673</v>
      </c>
      <c r="X14" s="492" t="s">
        <v>432</v>
      </c>
      <c r="Y14" s="492" t="s">
        <v>432</v>
      </c>
      <c r="Z14" s="492" t="s">
        <v>432</v>
      </c>
      <c r="AA14" s="492" t="s">
        <v>432</v>
      </c>
      <c r="AB14" s="492" t="s">
        <v>432</v>
      </c>
      <c r="AC14" s="492" t="s">
        <v>1674</v>
      </c>
      <c r="AD14" s="492" t="s">
        <v>432</v>
      </c>
      <c r="AE14" s="492" t="s">
        <v>432</v>
      </c>
      <c r="AF14" s="492" t="s">
        <v>432</v>
      </c>
      <c r="AG14" s="492" t="s">
        <v>1701</v>
      </c>
      <c r="AH14" s="492" t="s">
        <v>1676</v>
      </c>
      <c r="AI14" s="492" t="s">
        <v>1677</v>
      </c>
      <c r="AJ14" s="492" t="s">
        <v>1696</v>
      </c>
      <c r="AK14" s="492" t="s">
        <v>1697</v>
      </c>
      <c r="AL14" s="492" t="s">
        <v>513</v>
      </c>
      <c r="AM14" s="492" t="s">
        <v>432</v>
      </c>
      <c r="AN14" s="492" t="s">
        <v>1693</v>
      </c>
      <c r="AO14" s="492" t="s">
        <v>192</v>
      </c>
      <c r="AP14" s="492" t="s">
        <v>432</v>
      </c>
      <c r="AQ14" s="492" t="s">
        <v>432</v>
      </c>
      <c r="AR14" s="492" t="s">
        <v>432</v>
      </c>
      <c r="AS14" s="492" t="s">
        <v>432</v>
      </c>
      <c r="AT14" s="492" t="s">
        <v>432</v>
      </c>
      <c r="AU14" s="492" t="s">
        <v>1674</v>
      </c>
      <c r="AV14" s="492" t="s">
        <v>432</v>
      </c>
      <c r="AW14" s="492" t="s">
        <v>1680</v>
      </c>
      <c r="AX14" s="492" t="s">
        <v>1681</v>
      </c>
      <c r="AY14" s="492" t="s">
        <v>432</v>
      </c>
      <c r="AZ14" s="493">
        <v>12</v>
      </c>
      <c r="BA14" s="492" t="s">
        <v>192</v>
      </c>
      <c r="BB14" s="500">
        <v>0</v>
      </c>
      <c r="BC14" s="500">
        <v>0</v>
      </c>
      <c r="BD14" s="500">
        <v>0</v>
      </c>
      <c r="BE14" s="500">
        <v>0</v>
      </c>
      <c r="BF14" s="493">
        <v>0</v>
      </c>
      <c r="BG14" s="493">
        <v>0</v>
      </c>
      <c r="BH14" s="493">
        <v>0</v>
      </c>
      <c r="BI14" s="1387"/>
      <c r="BJ14" s="1387"/>
      <c r="BK14" s="500">
        <v>0</v>
      </c>
      <c r="BL14" s="493">
        <v>0</v>
      </c>
      <c r="BM14" s="500">
        <v>0</v>
      </c>
      <c r="BN14" s="1387"/>
      <c r="BO14" s="500">
        <v>1</v>
      </c>
      <c r="BP14" s="500">
        <v>12750</v>
      </c>
      <c r="BQ14" s="493">
        <v>0</v>
      </c>
    </row>
    <row r="15" spans="1:69">
      <c r="A15" s="492"/>
      <c r="B15" s="492"/>
      <c r="C15" s="1387"/>
      <c r="D15" s="492"/>
      <c r="E15" s="492"/>
      <c r="F15" s="493"/>
      <c r="G15" s="492"/>
      <c r="H15" s="500"/>
      <c r="I15" s="492"/>
      <c r="J15" s="1388"/>
      <c r="K15" s="493"/>
      <c r="L15" s="493"/>
      <c r="M15" s="492"/>
      <c r="N15" s="492"/>
      <c r="O15" s="492"/>
      <c r="P15" s="492"/>
      <c r="Q15" s="492"/>
      <c r="R15" s="492"/>
      <c r="S15" s="492"/>
      <c r="T15" s="492"/>
      <c r="U15" s="492"/>
      <c r="V15" s="492"/>
      <c r="W15" s="492"/>
      <c r="X15" s="492"/>
      <c r="Y15" s="492"/>
      <c r="Z15" s="492"/>
      <c r="AA15" s="492"/>
      <c r="AB15" s="492"/>
      <c r="AC15" s="492"/>
      <c r="AD15" s="492"/>
      <c r="AE15" s="492"/>
      <c r="AF15" s="492"/>
      <c r="AG15" s="492"/>
      <c r="AH15" s="492"/>
      <c r="AI15" s="492"/>
      <c r="AJ15" s="492"/>
      <c r="AK15" s="492"/>
      <c r="AL15" s="492"/>
      <c r="AM15" s="492"/>
      <c r="AN15" s="492"/>
      <c r="AO15" s="492"/>
      <c r="AP15" s="492"/>
      <c r="AQ15" s="492"/>
      <c r="AR15" s="492"/>
      <c r="AS15" s="492"/>
      <c r="AT15" s="492"/>
      <c r="AU15" s="492"/>
      <c r="AV15" s="492"/>
      <c r="AW15" s="492"/>
      <c r="AX15" s="492"/>
      <c r="AY15" s="492"/>
      <c r="AZ15" s="493"/>
      <c r="BA15" s="492"/>
      <c r="BB15" s="500"/>
      <c r="BC15" s="500"/>
      <c r="BD15" s="500"/>
      <c r="BE15" s="500"/>
      <c r="BF15" s="493"/>
      <c r="BG15" s="493"/>
      <c r="BH15" s="493"/>
      <c r="BI15" s="1387"/>
      <c r="BJ15" s="1387"/>
      <c r="BK15" s="500"/>
      <c r="BL15" s="493"/>
      <c r="BM15" s="500"/>
      <c r="BN15" s="1387"/>
      <c r="BO15" s="500"/>
      <c r="BP15" s="500"/>
      <c r="BQ15" s="493"/>
    </row>
    <row r="16" spans="1:69">
      <c r="A16" s="492" t="s">
        <v>423</v>
      </c>
      <c r="B16" s="492" t="s">
        <v>1666</v>
      </c>
      <c r="C16" s="1387">
        <v>42590</v>
      </c>
      <c r="D16" s="492" t="s">
        <v>1702</v>
      </c>
      <c r="E16" s="492" t="s">
        <v>1703</v>
      </c>
      <c r="F16" s="493">
        <v>10</v>
      </c>
      <c r="G16" s="492" t="s">
        <v>192</v>
      </c>
      <c r="H16" s="500">
        <v>479.18</v>
      </c>
      <c r="I16" s="492" t="s">
        <v>515</v>
      </c>
      <c r="J16" s="1388">
        <v>1</v>
      </c>
      <c r="K16" s="493">
        <v>10</v>
      </c>
      <c r="L16" s="493"/>
      <c r="M16" s="492" t="s">
        <v>1669</v>
      </c>
      <c r="N16" s="492" t="s">
        <v>1670</v>
      </c>
      <c r="O16" s="492" t="s">
        <v>147</v>
      </c>
      <c r="P16" s="492" t="s">
        <v>1671</v>
      </c>
      <c r="Q16" s="492" t="s">
        <v>95</v>
      </c>
      <c r="R16" s="492" t="s">
        <v>423</v>
      </c>
      <c r="S16" s="492" t="s">
        <v>430</v>
      </c>
      <c r="T16" s="492" t="s">
        <v>1672</v>
      </c>
      <c r="U16" s="492" t="s">
        <v>432</v>
      </c>
      <c r="V16" s="492" t="s">
        <v>432</v>
      </c>
      <c r="W16" s="492" t="s">
        <v>1673</v>
      </c>
      <c r="X16" s="492" t="s">
        <v>432</v>
      </c>
      <c r="Y16" s="492" t="s">
        <v>432</v>
      </c>
      <c r="Z16" s="492" t="s">
        <v>432</v>
      </c>
      <c r="AA16" s="492" t="s">
        <v>432</v>
      </c>
      <c r="AB16" s="492" t="s">
        <v>432</v>
      </c>
      <c r="AC16" s="492" t="s">
        <v>1674</v>
      </c>
      <c r="AD16" s="492" t="s">
        <v>432</v>
      </c>
      <c r="AE16" s="492" t="s">
        <v>432</v>
      </c>
      <c r="AF16" s="492" t="s">
        <v>432</v>
      </c>
      <c r="AG16" s="492" t="s">
        <v>1704</v>
      </c>
      <c r="AH16" s="492" t="s">
        <v>1676</v>
      </c>
      <c r="AI16" s="492" t="s">
        <v>1677</v>
      </c>
      <c r="AJ16" s="492" t="s">
        <v>1678</v>
      </c>
      <c r="AK16" s="492" t="s">
        <v>695</v>
      </c>
      <c r="AL16" s="492" t="s">
        <v>695</v>
      </c>
      <c r="AM16" s="492" t="s">
        <v>432</v>
      </c>
      <c r="AN16" s="492" t="s">
        <v>1679</v>
      </c>
      <c r="AO16" s="492" t="s">
        <v>192</v>
      </c>
      <c r="AP16" s="492" t="s">
        <v>432</v>
      </c>
      <c r="AQ16" s="492" t="s">
        <v>432</v>
      </c>
      <c r="AR16" s="492" t="s">
        <v>432</v>
      </c>
      <c r="AS16" s="492" t="s">
        <v>432</v>
      </c>
      <c r="AT16" s="492" t="s">
        <v>432</v>
      </c>
      <c r="AU16" s="492" t="s">
        <v>1674</v>
      </c>
      <c r="AV16" s="492" t="s">
        <v>432</v>
      </c>
      <c r="AW16" s="492" t="s">
        <v>1680</v>
      </c>
      <c r="AX16" s="492" t="s">
        <v>1681</v>
      </c>
      <c r="AY16" s="492" t="s">
        <v>432</v>
      </c>
      <c r="AZ16" s="493">
        <v>10</v>
      </c>
      <c r="BA16" s="492" t="s">
        <v>192</v>
      </c>
      <c r="BB16" s="500">
        <v>0</v>
      </c>
      <c r="BC16" s="500">
        <v>0</v>
      </c>
      <c r="BD16" s="500">
        <v>0</v>
      </c>
      <c r="BE16" s="500">
        <v>0</v>
      </c>
      <c r="BF16" s="493">
        <v>0</v>
      </c>
      <c r="BG16" s="493">
        <v>0</v>
      </c>
      <c r="BH16" s="493">
        <v>0</v>
      </c>
      <c r="BI16" s="1387"/>
      <c r="BJ16" s="1387"/>
      <c r="BK16" s="500">
        <v>4791.8</v>
      </c>
      <c r="BL16" s="493">
        <v>10</v>
      </c>
      <c r="BM16" s="500">
        <v>4791.8</v>
      </c>
      <c r="BN16" s="1387"/>
      <c r="BO16" s="500">
        <v>1</v>
      </c>
      <c r="BP16" s="500">
        <v>4791.8</v>
      </c>
      <c r="BQ16" s="493">
        <v>0</v>
      </c>
    </row>
    <row r="17" spans="1:69">
      <c r="A17" s="492" t="s">
        <v>423</v>
      </c>
      <c r="B17" s="492" t="s">
        <v>1692</v>
      </c>
      <c r="C17" s="1387">
        <v>41764</v>
      </c>
      <c r="D17" s="492" t="s">
        <v>1702</v>
      </c>
      <c r="E17" s="492" t="s">
        <v>1703</v>
      </c>
      <c r="F17" s="493">
        <v>0</v>
      </c>
      <c r="G17" s="492" t="s">
        <v>192</v>
      </c>
      <c r="H17" s="500">
        <v>782</v>
      </c>
      <c r="I17" s="492" t="s">
        <v>515</v>
      </c>
      <c r="J17" s="1388">
        <v>1</v>
      </c>
      <c r="K17" s="493">
        <v>12</v>
      </c>
      <c r="L17" s="493"/>
      <c r="M17" s="492" t="s">
        <v>1693</v>
      </c>
      <c r="N17" s="492" t="s">
        <v>1694</v>
      </c>
      <c r="O17" s="492" t="s">
        <v>147</v>
      </c>
      <c r="P17" s="492" t="s">
        <v>1671</v>
      </c>
      <c r="Q17" s="492" t="s">
        <v>95</v>
      </c>
      <c r="R17" s="492" t="s">
        <v>423</v>
      </c>
      <c r="S17" s="492" t="s">
        <v>521</v>
      </c>
      <c r="T17" s="492" t="s">
        <v>1672</v>
      </c>
      <c r="U17" s="492" t="s">
        <v>1684</v>
      </c>
      <c r="V17" s="492" t="s">
        <v>432</v>
      </c>
      <c r="W17" s="492" t="s">
        <v>1673</v>
      </c>
      <c r="X17" s="492" t="s">
        <v>432</v>
      </c>
      <c r="Y17" s="492" t="s">
        <v>432</v>
      </c>
      <c r="Z17" s="492" t="s">
        <v>432</v>
      </c>
      <c r="AA17" s="492" t="s">
        <v>432</v>
      </c>
      <c r="AB17" s="492" t="s">
        <v>432</v>
      </c>
      <c r="AC17" s="492" t="s">
        <v>1674</v>
      </c>
      <c r="AD17" s="492" t="s">
        <v>432</v>
      </c>
      <c r="AE17" s="492" t="s">
        <v>432</v>
      </c>
      <c r="AF17" s="492" t="s">
        <v>432</v>
      </c>
      <c r="AG17" s="492" t="s">
        <v>1705</v>
      </c>
      <c r="AH17" s="492" t="s">
        <v>1676</v>
      </c>
      <c r="AI17" s="492" t="s">
        <v>1677</v>
      </c>
      <c r="AJ17" s="492" t="s">
        <v>1696</v>
      </c>
      <c r="AK17" s="492" t="s">
        <v>1697</v>
      </c>
      <c r="AL17" s="492" t="s">
        <v>513</v>
      </c>
      <c r="AM17" s="492" t="s">
        <v>432</v>
      </c>
      <c r="AN17" s="492" t="s">
        <v>1693</v>
      </c>
      <c r="AO17" s="492" t="s">
        <v>192</v>
      </c>
      <c r="AP17" s="492" t="s">
        <v>432</v>
      </c>
      <c r="AQ17" s="492" t="s">
        <v>432</v>
      </c>
      <c r="AR17" s="492" t="s">
        <v>432</v>
      </c>
      <c r="AS17" s="492" t="s">
        <v>432</v>
      </c>
      <c r="AT17" s="492" t="s">
        <v>432</v>
      </c>
      <c r="AU17" s="492" t="s">
        <v>1674</v>
      </c>
      <c r="AV17" s="492" t="s">
        <v>432</v>
      </c>
      <c r="AW17" s="492" t="s">
        <v>1680</v>
      </c>
      <c r="AX17" s="492" t="s">
        <v>1681</v>
      </c>
      <c r="AY17" s="492" t="s">
        <v>432</v>
      </c>
      <c r="AZ17" s="493">
        <v>12</v>
      </c>
      <c r="BA17" s="492" t="s">
        <v>192</v>
      </c>
      <c r="BB17" s="500">
        <v>0</v>
      </c>
      <c r="BC17" s="500">
        <v>0</v>
      </c>
      <c r="BD17" s="500">
        <v>0</v>
      </c>
      <c r="BE17" s="500">
        <v>0</v>
      </c>
      <c r="BF17" s="493">
        <v>0</v>
      </c>
      <c r="BG17" s="493">
        <v>0</v>
      </c>
      <c r="BH17" s="493">
        <v>0</v>
      </c>
      <c r="BI17" s="1387"/>
      <c r="BJ17" s="1387"/>
      <c r="BK17" s="500">
        <v>0</v>
      </c>
      <c r="BL17" s="493">
        <v>0</v>
      </c>
      <c r="BM17" s="500">
        <v>0</v>
      </c>
      <c r="BN17" s="1387"/>
      <c r="BO17" s="500">
        <v>1</v>
      </c>
      <c r="BP17" s="500">
        <v>9384</v>
      </c>
      <c r="BQ17" s="493">
        <v>0</v>
      </c>
    </row>
    <row r="18" spans="1:69">
      <c r="A18" s="492"/>
      <c r="B18" s="492"/>
      <c r="C18" s="1387"/>
      <c r="D18" s="492"/>
      <c r="E18" s="492"/>
      <c r="F18" s="493"/>
      <c r="G18" s="492"/>
      <c r="H18" s="500"/>
      <c r="I18" s="492"/>
      <c r="J18" s="1388"/>
      <c r="K18" s="493"/>
      <c r="L18" s="493"/>
      <c r="M18" s="492"/>
      <c r="N18" s="492"/>
      <c r="O18" s="492"/>
      <c r="P18" s="492"/>
      <c r="Q18" s="492"/>
      <c r="R18" s="492"/>
      <c r="S18" s="492"/>
      <c r="T18" s="492"/>
      <c r="U18" s="492"/>
      <c r="V18" s="492"/>
      <c r="W18" s="492"/>
      <c r="X18" s="492"/>
      <c r="Y18" s="492"/>
      <c r="Z18" s="492"/>
      <c r="AA18" s="492"/>
      <c r="AB18" s="492"/>
      <c r="AC18" s="492"/>
      <c r="AD18" s="492"/>
      <c r="AE18" s="492"/>
      <c r="AF18" s="492"/>
      <c r="AG18" s="492"/>
      <c r="AH18" s="492"/>
      <c r="AI18" s="492"/>
      <c r="AJ18" s="492"/>
      <c r="AK18" s="492"/>
      <c r="AL18" s="492"/>
      <c r="AM18" s="492"/>
      <c r="AN18" s="492"/>
      <c r="AO18" s="492"/>
      <c r="AP18" s="492"/>
      <c r="AQ18" s="492"/>
      <c r="AR18" s="492"/>
      <c r="AS18" s="492"/>
      <c r="AT18" s="492"/>
      <c r="AU18" s="492"/>
      <c r="AV18" s="492"/>
      <c r="AW18" s="492"/>
      <c r="AX18" s="492"/>
      <c r="AY18" s="492"/>
      <c r="AZ18" s="493"/>
      <c r="BA18" s="492"/>
      <c r="BB18" s="500"/>
      <c r="BC18" s="500"/>
      <c r="BD18" s="500"/>
      <c r="BE18" s="500"/>
      <c r="BF18" s="493"/>
      <c r="BG18" s="493"/>
      <c r="BH18" s="493"/>
      <c r="BI18" s="1387"/>
      <c r="BJ18" s="1387"/>
      <c r="BK18" s="500"/>
      <c r="BL18" s="493"/>
      <c r="BM18" s="500"/>
      <c r="BN18" s="1387"/>
      <c r="BO18" s="500"/>
      <c r="BP18" s="500"/>
      <c r="BQ18" s="493"/>
    </row>
    <row r="19" spans="1:69">
      <c r="A19" s="492" t="s">
        <v>423</v>
      </c>
      <c r="B19" s="492" t="s">
        <v>1666</v>
      </c>
      <c r="C19" s="1387">
        <v>42590</v>
      </c>
      <c r="D19" s="492" t="s">
        <v>1706</v>
      </c>
      <c r="E19" s="492" t="s">
        <v>1707</v>
      </c>
      <c r="F19" s="493">
        <v>20</v>
      </c>
      <c r="G19" s="492" t="s">
        <v>192</v>
      </c>
      <c r="H19" s="500">
        <v>307.49</v>
      </c>
      <c r="I19" s="492" t="s">
        <v>515</v>
      </c>
      <c r="J19" s="1388">
        <v>1</v>
      </c>
      <c r="K19" s="493">
        <v>20</v>
      </c>
      <c r="L19" s="493">
        <f>K19*(H20-H19)</f>
        <v>3880.2</v>
      </c>
      <c r="M19" s="492" t="s">
        <v>1669</v>
      </c>
      <c r="N19" s="492" t="s">
        <v>1670</v>
      </c>
      <c r="O19" s="492" t="s">
        <v>136</v>
      </c>
      <c r="P19" s="492" t="s">
        <v>1671</v>
      </c>
      <c r="Q19" s="492" t="s">
        <v>95</v>
      </c>
      <c r="R19" s="492" t="s">
        <v>423</v>
      </c>
      <c r="S19" s="492" t="s">
        <v>430</v>
      </c>
      <c r="T19" s="492" t="s">
        <v>1672</v>
      </c>
      <c r="U19" s="492" t="s">
        <v>432</v>
      </c>
      <c r="V19" s="492" t="s">
        <v>432</v>
      </c>
      <c r="W19" s="492" t="s">
        <v>1673</v>
      </c>
      <c r="X19" s="492" t="s">
        <v>432</v>
      </c>
      <c r="Y19" s="492" t="s">
        <v>432</v>
      </c>
      <c r="Z19" s="492" t="s">
        <v>432</v>
      </c>
      <c r="AA19" s="492" t="s">
        <v>432</v>
      </c>
      <c r="AB19" s="492" t="s">
        <v>432</v>
      </c>
      <c r="AC19" s="492" t="s">
        <v>1674</v>
      </c>
      <c r="AD19" s="492" t="s">
        <v>432</v>
      </c>
      <c r="AE19" s="492" t="s">
        <v>432</v>
      </c>
      <c r="AF19" s="492" t="s">
        <v>432</v>
      </c>
      <c r="AG19" s="492" t="s">
        <v>1708</v>
      </c>
      <c r="AH19" s="492" t="s">
        <v>1676</v>
      </c>
      <c r="AI19" s="492" t="s">
        <v>1677</v>
      </c>
      <c r="AJ19" s="492" t="s">
        <v>1678</v>
      </c>
      <c r="AK19" s="492" t="s">
        <v>695</v>
      </c>
      <c r="AL19" s="492" t="s">
        <v>695</v>
      </c>
      <c r="AM19" s="492" t="s">
        <v>432</v>
      </c>
      <c r="AN19" s="492" t="s">
        <v>1679</v>
      </c>
      <c r="AO19" s="492" t="s">
        <v>192</v>
      </c>
      <c r="AP19" s="492" t="s">
        <v>432</v>
      </c>
      <c r="AQ19" s="492" t="s">
        <v>432</v>
      </c>
      <c r="AR19" s="492" t="s">
        <v>432</v>
      </c>
      <c r="AS19" s="492" t="s">
        <v>432</v>
      </c>
      <c r="AT19" s="492" t="s">
        <v>432</v>
      </c>
      <c r="AU19" s="492" t="s">
        <v>1674</v>
      </c>
      <c r="AV19" s="492" t="s">
        <v>432</v>
      </c>
      <c r="AW19" s="492" t="s">
        <v>1680</v>
      </c>
      <c r="AX19" s="492" t="s">
        <v>1681</v>
      </c>
      <c r="AY19" s="492" t="s">
        <v>432</v>
      </c>
      <c r="AZ19" s="493">
        <v>20</v>
      </c>
      <c r="BA19" s="492" t="s">
        <v>192</v>
      </c>
      <c r="BB19" s="500">
        <v>0</v>
      </c>
      <c r="BC19" s="500">
        <v>0</v>
      </c>
      <c r="BD19" s="500">
        <v>0</v>
      </c>
      <c r="BE19" s="500">
        <v>0</v>
      </c>
      <c r="BF19" s="493">
        <v>0</v>
      </c>
      <c r="BG19" s="493">
        <v>0</v>
      </c>
      <c r="BH19" s="493">
        <v>0</v>
      </c>
      <c r="BI19" s="1387"/>
      <c r="BJ19" s="1387"/>
      <c r="BK19" s="500">
        <v>6149.8</v>
      </c>
      <c r="BL19" s="493">
        <v>20</v>
      </c>
      <c r="BM19" s="500">
        <v>6149.8</v>
      </c>
      <c r="BN19" s="1387"/>
      <c r="BO19" s="500">
        <v>1</v>
      </c>
      <c r="BP19" s="500">
        <v>6149.8</v>
      </c>
      <c r="BQ19" s="493">
        <v>0</v>
      </c>
    </row>
    <row r="20" spans="1:69" ht="15.75" thickBot="1">
      <c r="A20" s="492" t="s">
        <v>423</v>
      </c>
      <c r="B20" s="492" t="s">
        <v>1692</v>
      </c>
      <c r="C20" s="1387">
        <v>41764</v>
      </c>
      <c r="D20" s="492" t="s">
        <v>1706</v>
      </c>
      <c r="E20" s="492" t="s">
        <v>1707</v>
      </c>
      <c r="F20" s="493">
        <v>0</v>
      </c>
      <c r="G20" s="492" t="s">
        <v>192</v>
      </c>
      <c r="H20" s="500">
        <v>501.5</v>
      </c>
      <c r="I20" s="492" t="s">
        <v>515</v>
      </c>
      <c r="J20" s="1388">
        <v>1</v>
      </c>
      <c r="K20" s="493">
        <v>12</v>
      </c>
      <c r="L20" s="1390"/>
      <c r="M20" s="492" t="s">
        <v>1693</v>
      </c>
      <c r="N20" s="492" t="s">
        <v>1694</v>
      </c>
      <c r="O20" s="492" t="s">
        <v>136</v>
      </c>
      <c r="P20" s="492" t="s">
        <v>1671</v>
      </c>
      <c r="Q20" s="492" t="s">
        <v>95</v>
      </c>
      <c r="R20" s="492" t="s">
        <v>423</v>
      </c>
      <c r="S20" s="492" t="s">
        <v>521</v>
      </c>
      <c r="T20" s="492" t="s">
        <v>1672</v>
      </c>
      <c r="U20" s="492" t="s">
        <v>1684</v>
      </c>
      <c r="V20" s="492" t="s">
        <v>432</v>
      </c>
      <c r="W20" s="492" t="s">
        <v>1673</v>
      </c>
      <c r="X20" s="492" t="s">
        <v>432</v>
      </c>
      <c r="Y20" s="492" t="s">
        <v>432</v>
      </c>
      <c r="Z20" s="492" t="s">
        <v>432</v>
      </c>
      <c r="AA20" s="492" t="s">
        <v>1709</v>
      </c>
      <c r="AB20" s="492" t="s">
        <v>432</v>
      </c>
      <c r="AC20" s="492" t="s">
        <v>1674</v>
      </c>
      <c r="AD20" s="492" t="s">
        <v>432</v>
      </c>
      <c r="AE20" s="492" t="s">
        <v>432</v>
      </c>
      <c r="AF20" s="492" t="s">
        <v>432</v>
      </c>
      <c r="AG20" s="492" t="s">
        <v>1710</v>
      </c>
      <c r="AH20" s="492" t="s">
        <v>1676</v>
      </c>
      <c r="AI20" s="492" t="s">
        <v>1677</v>
      </c>
      <c r="AJ20" s="492" t="s">
        <v>1696</v>
      </c>
      <c r="AK20" s="492" t="s">
        <v>1697</v>
      </c>
      <c r="AL20" s="492" t="s">
        <v>513</v>
      </c>
      <c r="AM20" s="492" t="s">
        <v>432</v>
      </c>
      <c r="AN20" s="492" t="s">
        <v>1693</v>
      </c>
      <c r="AO20" s="492" t="s">
        <v>192</v>
      </c>
      <c r="AP20" s="492" t="s">
        <v>432</v>
      </c>
      <c r="AQ20" s="492" t="s">
        <v>432</v>
      </c>
      <c r="AR20" s="492" t="s">
        <v>432</v>
      </c>
      <c r="AS20" s="492" t="s">
        <v>432</v>
      </c>
      <c r="AT20" s="492" t="s">
        <v>432</v>
      </c>
      <c r="AU20" s="492" t="s">
        <v>1674</v>
      </c>
      <c r="AV20" s="492" t="s">
        <v>432</v>
      </c>
      <c r="AW20" s="492" t="s">
        <v>1680</v>
      </c>
      <c r="AX20" s="492" t="s">
        <v>1681</v>
      </c>
      <c r="AY20" s="492" t="s">
        <v>432</v>
      </c>
      <c r="AZ20" s="493">
        <v>12</v>
      </c>
      <c r="BA20" s="492" t="s">
        <v>192</v>
      </c>
      <c r="BB20" s="500">
        <v>0</v>
      </c>
      <c r="BC20" s="500">
        <v>0</v>
      </c>
      <c r="BD20" s="500">
        <v>0</v>
      </c>
      <c r="BE20" s="500">
        <v>0</v>
      </c>
      <c r="BF20" s="493">
        <v>0</v>
      </c>
      <c r="BG20" s="493">
        <v>0</v>
      </c>
      <c r="BH20" s="493">
        <v>0</v>
      </c>
      <c r="BI20" s="1387"/>
      <c r="BJ20" s="1387"/>
      <c r="BK20" s="500">
        <v>0</v>
      </c>
      <c r="BL20" s="493">
        <v>0</v>
      </c>
      <c r="BM20" s="500">
        <v>0</v>
      </c>
      <c r="BN20" s="1387"/>
      <c r="BO20" s="500">
        <v>1</v>
      </c>
      <c r="BP20" s="500">
        <v>6018</v>
      </c>
      <c r="BQ20" s="493">
        <v>0</v>
      </c>
    </row>
    <row r="21" spans="1:69" ht="15.75" thickBot="1">
      <c r="K21" s="526"/>
      <c r="L21" s="1391">
        <f>SUM(L2:L20)</f>
        <v>22989.3</v>
      </c>
      <c r="M21" s="1392"/>
    </row>
    <row r="22" spans="1:69">
      <c r="L22" s="139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9"/>
  <sheetViews>
    <sheetView topLeftCell="B1" zoomScaleNormal="100" workbookViewId="0">
      <selection activeCell="C13" sqref="C13"/>
    </sheetView>
  </sheetViews>
  <sheetFormatPr defaultRowHeight="12.75"/>
  <cols>
    <col min="1" max="1" width="6.140625" style="956" customWidth="1"/>
    <col min="2" max="2" width="48.85546875" style="973" customWidth="1"/>
    <col min="3" max="3" width="27.5703125" style="956" customWidth="1"/>
    <col min="4" max="4" width="9.85546875" style="973" customWidth="1"/>
    <col min="5" max="5" width="6.140625" style="956" customWidth="1"/>
    <col min="6" max="7" width="12.85546875" style="956" customWidth="1"/>
    <col min="8" max="8" width="17.5703125" style="956" customWidth="1"/>
    <col min="9" max="9" width="13.5703125" style="956" customWidth="1"/>
    <col min="10" max="10" width="14.85546875" style="956" customWidth="1"/>
    <col min="11" max="11" width="13.7109375" style="956" customWidth="1"/>
    <col min="12" max="12" width="17.5703125" style="956" customWidth="1"/>
    <col min="13" max="13" width="18.42578125" style="956" customWidth="1"/>
    <col min="14" max="14" width="12.42578125" style="956" bestFit="1" customWidth="1"/>
    <col min="15" max="15" width="11.140625" style="956" bestFit="1" customWidth="1"/>
    <col min="16" max="16" width="11.85546875" style="956" bestFit="1" customWidth="1"/>
    <col min="17" max="17" width="11.5703125" style="956" bestFit="1" customWidth="1"/>
    <col min="18" max="251" width="9.140625" style="956"/>
    <col min="252" max="252" width="4" style="956" customWidth="1"/>
    <col min="253" max="253" width="30.7109375" style="956" customWidth="1"/>
    <col min="254" max="255" width="10" style="956" customWidth="1"/>
    <col min="256" max="256" width="9.85546875" style="956" customWidth="1"/>
    <col min="257" max="257" width="12.42578125" style="956" customWidth="1"/>
    <col min="258" max="263" width="12.7109375" style="956" customWidth="1"/>
    <col min="264" max="264" width="13" style="956" customWidth="1"/>
    <col min="265" max="266" width="12.7109375" style="956" customWidth="1"/>
    <col min="267" max="267" width="9.140625" style="956"/>
    <col min="268" max="268" width="11.140625" style="956" bestFit="1" customWidth="1"/>
    <col min="269" max="507" width="9.140625" style="956"/>
    <col min="508" max="508" width="4" style="956" customWidth="1"/>
    <col min="509" max="509" width="30.7109375" style="956" customWidth="1"/>
    <col min="510" max="511" width="10" style="956" customWidth="1"/>
    <col min="512" max="512" width="9.85546875" style="956" customWidth="1"/>
    <col min="513" max="513" width="12.42578125" style="956" customWidth="1"/>
    <col min="514" max="519" width="12.7109375" style="956" customWidth="1"/>
    <col min="520" max="520" width="13" style="956" customWidth="1"/>
    <col min="521" max="522" width="12.7109375" style="956" customWidth="1"/>
    <col min="523" max="523" width="9.140625" style="956"/>
    <col min="524" max="524" width="11.140625" style="956" bestFit="1" customWidth="1"/>
    <col min="525" max="763" width="9.140625" style="956"/>
    <col min="764" max="764" width="4" style="956" customWidth="1"/>
    <col min="765" max="765" width="30.7109375" style="956" customWidth="1"/>
    <col min="766" max="767" width="10" style="956" customWidth="1"/>
    <col min="768" max="768" width="9.85546875" style="956" customWidth="1"/>
    <col min="769" max="769" width="12.42578125" style="956" customWidth="1"/>
    <col min="770" max="775" width="12.7109375" style="956" customWidth="1"/>
    <col min="776" max="776" width="13" style="956" customWidth="1"/>
    <col min="777" max="778" width="12.7109375" style="956" customWidth="1"/>
    <col min="779" max="779" width="9.140625" style="956"/>
    <col min="780" max="780" width="11.140625" style="956" bestFit="1" customWidth="1"/>
    <col min="781" max="1019" width="9.140625" style="956"/>
    <col min="1020" max="1020" width="4" style="956" customWidth="1"/>
    <col min="1021" max="1021" width="30.7109375" style="956" customWidth="1"/>
    <col min="1022" max="1023" width="10" style="956" customWidth="1"/>
    <col min="1024" max="1024" width="9.85546875" style="956" customWidth="1"/>
    <col min="1025" max="1025" width="12.42578125" style="956" customWidth="1"/>
    <col min="1026" max="1031" width="12.7109375" style="956" customWidth="1"/>
    <col min="1032" max="1032" width="13" style="956" customWidth="1"/>
    <col min="1033" max="1034" width="12.7109375" style="956" customWidth="1"/>
    <col min="1035" max="1035" width="9.140625" style="956"/>
    <col min="1036" max="1036" width="11.140625" style="956" bestFit="1" customWidth="1"/>
    <col min="1037" max="1275" width="9.140625" style="956"/>
    <col min="1276" max="1276" width="4" style="956" customWidth="1"/>
    <col min="1277" max="1277" width="30.7109375" style="956" customWidth="1"/>
    <col min="1278" max="1279" width="10" style="956" customWidth="1"/>
    <col min="1280" max="1280" width="9.85546875" style="956" customWidth="1"/>
    <col min="1281" max="1281" width="12.42578125" style="956" customWidth="1"/>
    <col min="1282" max="1287" width="12.7109375" style="956" customWidth="1"/>
    <col min="1288" max="1288" width="13" style="956" customWidth="1"/>
    <col min="1289" max="1290" width="12.7109375" style="956" customWidth="1"/>
    <col min="1291" max="1291" width="9.140625" style="956"/>
    <col min="1292" max="1292" width="11.140625" style="956" bestFit="1" customWidth="1"/>
    <col min="1293" max="1531" width="9.140625" style="956"/>
    <col min="1532" max="1532" width="4" style="956" customWidth="1"/>
    <col min="1533" max="1533" width="30.7109375" style="956" customWidth="1"/>
    <col min="1534" max="1535" width="10" style="956" customWidth="1"/>
    <col min="1536" max="1536" width="9.85546875" style="956" customWidth="1"/>
    <col min="1537" max="1537" width="12.42578125" style="956" customWidth="1"/>
    <col min="1538" max="1543" width="12.7109375" style="956" customWidth="1"/>
    <col min="1544" max="1544" width="13" style="956" customWidth="1"/>
    <col min="1545" max="1546" width="12.7109375" style="956" customWidth="1"/>
    <col min="1547" max="1547" width="9.140625" style="956"/>
    <col min="1548" max="1548" width="11.140625" style="956" bestFit="1" customWidth="1"/>
    <col min="1549" max="1787" width="9.140625" style="956"/>
    <col min="1788" max="1788" width="4" style="956" customWidth="1"/>
    <col min="1789" max="1789" width="30.7109375" style="956" customWidth="1"/>
    <col min="1790" max="1791" width="10" style="956" customWidth="1"/>
    <col min="1792" max="1792" width="9.85546875" style="956" customWidth="1"/>
    <col min="1793" max="1793" width="12.42578125" style="956" customWidth="1"/>
    <col min="1794" max="1799" width="12.7109375" style="956" customWidth="1"/>
    <col min="1800" max="1800" width="13" style="956" customWidth="1"/>
    <col min="1801" max="1802" width="12.7109375" style="956" customWidth="1"/>
    <col min="1803" max="1803" width="9.140625" style="956"/>
    <col min="1804" max="1804" width="11.140625" style="956" bestFit="1" customWidth="1"/>
    <col min="1805" max="2043" width="9.140625" style="956"/>
    <col min="2044" max="2044" width="4" style="956" customWidth="1"/>
    <col min="2045" max="2045" width="30.7109375" style="956" customWidth="1"/>
    <col min="2046" max="2047" width="10" style="956" customWidth="1"/>
    <col min="2048" max="2048" width="9.85546875" style="956" customWidth="1"/>
    <col min="2049" max="2049" width="12.42578125" style="956" customWidth="1"/>
    <col min="2050" max="2055" width="12.7109375" style="956" customWidth="1"/>
    <col min="2056" max="2056" width="13" style="956" customWidth="1"/>
    <col min="2057" max="2058" width="12.7109375" style="956" customWidth="1"/>
    <col min="2059" max="2059" width="9.140625" style="956"/>
    <col min="2060" max="2060" width="11.140625" style="956" bestFit="1" customWidth="1"/>
    <col min="2061" max="2299" width="9.140625" style="956"/>
    <col min="2300" max="2300" width="4" style="956" customWidth="1"/>
    <col min="2301" max="2301" width="30.7109375" style="956" customWidth="1"/>
    <col min="2302" max="2303" width="10" style="956" customWidth="1"/>
    <col min="2304" max="2304" width="9.85546875" style="956" customWidth="1"/>
    <col min="2305" max="2305" width="12.42578125" style="956" customWidth="1"/>
    <col min="2306" max="2311" width="12.7109375" style="956" customWidth="1"/>
    <col min="2312" max="2312" width="13" style="956" customWidth="1"/>
    <col min="2313" max="2314" width="12.7109375" style="956" customWidth="1"/>
    <col min="2315" max="2315" width="9.140625" style="956"/>
    <col min="2316" max="2316" width="11.140625" style="956" bestFit="1" customWidth="1"/>
    <col min="2317" max="2555" width="9.140625" style="956"/>
    <col min="2556" max="2556" width="4" style="956" customWidth="1"/>
    <col min="2557" max="2557" width="30.7109375" style="956" customWidth="1"/>
    <col min="2558" max="2559" width="10" style="956" customWidth="1"/>
    <col min="2560" max="2560" width="9.85546875" style="956" customWidth="1"/>
    <col min="2561" max="2561" width="12.42578125" style="956" customWidth="1"/>
    <col min="2562" max="2567" width="12.7109375" style="956" customWidth="1"/>
    <col min="2568" max="2568" width="13" style="956" customWidth="1"/>
    <col min="2569" max="2570" width="12.7109375" style="956" customWidth="1"/>
    <col min="2571" max="2571" width="9.140625" style="956"/>
    <col min="2572" max="2572" width="11.140625" style="956" bestFit="1" customWidth="1"/>
    <col min="2573" max="2811" width="9.140625" style="956"/>
    <col min="2812" max="2812" width="4" style="956" customWidth="1"/>
    <col min="2813" max="2813" width="30.7109375" style="956" customWidth="1"/>
    <col min="2814" max="2815" width="10" style="956" customWidth="1"/>
    <col min="2816" max="2816" width="9.85546875" style="956" customWidth="1"/>
    <col min="2817" max="2817" width="12.42578125" style="956" customWidth="1"/>
    <col min="2818" max="2823" width="12.7109375" style="956" customWidth="1"/>
    <col min="2824" max="2824" width="13" style="956" customWidth="1"/>
    <col min="2825" max="2826" width="12.7109375" style="956" customWidth="1"/>
    <col min="2827" max="2827" width="9.140625" style="956"/>
    <col min="2828" max="2828" width="11.140625" style="956" bestFit="1" customWidth="1"/>
    <col min="2829" max="3067" width="9.140625" style="956"/>
    <col min="3068" max="3068" width="4" style="956" customWidth="1"/>
    <col min="3069" max="3069" width="30.7109375" style="956" customWidth="1"/>
    <col min="3070" max="3071" width="10" style="956" customWidth="1"/>
    <col min="3072" max="3072" width="9.85546875" style="956" customWidth="1"/>
    <col min="3073" max="3073" width="12.42578125" style="956" customWidth="1"/>
    <col min="3074" max="3079" width="12.7109375" style="956" customWidth="1"/>
    <col min="3080" max="3080" width="13" style="956" customWidth="1"/>
    <col min="3081" max="3082" width="12.7109375" style="956" customWidth="1"/>
    <col min="3083" max="3083" width="9.140625" style="956"/>
    <col min="3084" max="3084" width="11.140625" style="956" bestFit="1" customWidth="1"/>
    <col min="3085" max="3323" width="9.140625" style="956"/>
    <col min="3324" max="3324" width="4" style="956" customWidth="1"/>
    <col min="3325" max="3325" width="30.7109375" style="956" customWidth="1"/>
    <col min="3326" max="3327" width="10" style="956" customWidth="1"/>
    <col min="3328" max="3328" width="9.85546875" style="956" customWidth="1"/>
    <col min="3329" max="3329" width="12.42578125" style="956" customWidth="1"/>
    <col min="3330" max="3335" width="12.7109375" style="956" customWidth="1"/>
    <col min="3336" max="3336" width="13" style="956" customWidth="1"/>
    <col min="3337" max="3338" width="12.7109375" style="956" customWidth="1"/>
    <col min="3339" max="3339" width="9.140625" style="956"/>
    <col min="3340" max="3340" width="11.140625" style="956" bestFit="1" customWidth="1"/>
    <col min="3341" max="3579" width="9.140625" style="956"/>
    <col min="3580" max="3580" width="4" style="956" customWidth="1"/>
    <col min="3581" max="3581" width="30.7109375" style="956" customWidth="1"/>
    <col min="3582" max="3583" width="10" style="956" customWidth="1"/>
    <col min="3584" max="3584" width="9.85546875" style="956" customWidth="1"/>
    <col min="3585" max="3585" width="12.42578125" style="956" customWidth="1"/>
    <col min="3586" max="3591" width="12.7109375" style="956" customWidth="1"/>
    <col min="3592" max="3592" width="13" style="956" customWidth="1"/>
    <col min="3593" max="3594" width="12.7109375" style="956" customWidth="1"/>
    <col min="3595" max="3595" width="9.140625" style="956"/>
    <col min="3596" max="3596" width="11.140625" style="956" bestFit="1" customWidth="1"/>
    <col min="3597" max="3835" width="9.140625" style="956"/>
    <col min="3836" max="3836" width="4" style="956" customWidth="1"/>
    <col min="3837" max="3837" width="30.7109375" style="956" customWidth="1"/>
    <col min="3838" max="3839" width="10" style="956" customWidth="1"/>
    <col min="3840" max="3840" width="9.85546875" style="956" customWidth="1"/>
    <col min="3841" max="3841" width="12.42578125" style="956" customWidth="1"/>
    <col min="3842" max="3847" width="12.7109375" style="956" customWidth="1"/>
    <col min="3848" max="3848" width="13" style="956" customWidth="1"/>
    <col min="3849" max="3850" width="12.7109375" style="956" customWidth="1"/>
    <col min="3851" max="3851" width="9.140625" style="956"/>
    <col min="3852" max="3852" width="11.140625" style="956" bestFit="1" customWidth="1"/>
    <col min="3853" max="4091" width="9.140625" style="956"/>
    <col min="4092" max="4092" width="4" style="956" customWidth="1"/>
    <col min="4093" max="4093" width="30.7109375" style="956" customWidth="1"/>
    <col min="4094" max="4095" width="10" style="956" customWidth="1"/>
    <col min="4096" max="4096" width="9.85546875" style="956" customWidth="1"/>
    <col min="4097" max="4097" width="12.42578125" style="956" customWidth="1"/>
    <col min="4098" max="4103" width="12.7109375" style="956" customWidth="1"/>
    <col min="4104" max="4104" width="13" style="956" customWidth="1"/>
    <col min="4105" max="4106" width="12.7109375" style="956" customWidth="1"/>
    <col min="4107" max="4107" width="9.140625" style="956"/>
    <col min="4108" max="4108" width="11.140625" style="956" bestFit="1" customWidth="1"/>
    <col min="4109" max="4347" width="9.140625" style="956"/>
    <col min="4348" max="4348" width="4" style="956" customWidth="1"/>
    <col min="4349" max="4349" width="30.7109375" style="956" customWidth="1"/>
    <col min="4350" max="4351" width="10" style="956" customWidth="1"/>
    <col min="4352" max="4352" width="9.85546875" style="956" customWidth="1"/>
    <col min="4353" max="4353" width="12.42578125" style="956" customWidth="1"/>
    <col min="4354" max="4359" width="12.7109375" style="956" customWidth="1"/>
    <col min="4360" max="4360" width="13" style="956" customWidth="1"/>
    <col min="4361" max="4362" width="12.7109375" style="956" customWidth="1"/>
    <col min="4363" max="4363" width="9.140625" style="956"/>
    <col min="4364" max="4364" width="11.140625" style="956" bestFit="1" customWidth="1"/>
    <col min="4365" max="4603" width="9.140625" style="956"/>
    <col min="4604" max="4604" width="4" style="956" customWidth="1"/>
    <col min="4605" max="4605" width="30.7109375" style="956" customWidth="1"/>
    <col min="4606" max="4607" width="10" style="956" customWidth="1"/>
    <col min="4608" max="4608" width="9.85546875" style="956" customWidth="1"/>
    <col min="4609" max="4609" width="12.42578125" style="956" customWidth="1"/>
    <col min="4610" max="4615" width="12.7109375" style="956" customWidth="1"/>
    <col min="4616" max="4616" width="13" style="956" customWidth="1"/>
    <col min="4617" max="4618" width="12.7109375" style="956" customWidth="1"/>
    <col min="4619" max="4619" width="9.140625" style="956"/>
    <col min="4620" max="4620" width="11.140625" style="956" bestFit="1" customWidth="1"/>
    <col min="4621" max="4859" width="9.140625" style="956"/>
    <col min="4860" max="4860" width="4" style="956" customWidth="1"/>
    <col min="4861" max="4861" width="30.7109375" style="956" customWidth="1"/>
    <col min="4862" max="4863" width="10" style="956" customWidth="1"/>
    <col min="4864" max="4864" width="9.85546875" style="956" customWidth="1"/>
    <col min="4865" max="4865" width="12.42578125" style="956" customWidth="1"/>
    <col min="4866" max="4871" width="12.7109375" style="956" customWidth="1"/>
    <col min="4872" max="4872" width="13" style="956" customWidth="1"/>
    <col min="4873" max="4874" width="12.7109375" style="956" customWidth="1"/>
    <col min="4875" max="4875" width="9.140625" style="956"/>
    <col min="4876" max="4876" width="11.140625" style="956" bestFit="1" customWidth="1"/>
    <col min="4877" max="5115" width="9.140625" style="956"/>
    <col min="5116" max="5116" width="4" style="956" customWidth="1"/>
    <col min="5117" max="5117" width="30.7109375" style="956" customWidth="1"/>
    <col min="5118" max="5119" width="10" style="956" customWidth="1"/>
    <col min="5120" max="5120" width="9.85546875" style="956" customWidth="1"/>
    <col min="5121" max="5121" width="12.42578125" style="956" customWidth="1"/>
    <col min="5122" max="5127" width="12.7109375" style="956" customWidth="1"/>
    <col min="5128" max="5128" width="13" style="956" customWidth="1"/>
    <col min="5129" max="5130" width="12.7109375" style="956" customWidth="1"/>
    <col min="5131" max="5131" width="9.140625" style="956"/>
    <col min="5132" max="5132" width="11.140625" style="956" bestFit="1" customWidth="1"/>
    <col min="5133" max="5371" width="9.140625" style="956"/>
    <col min="5372" max="5372" width="4" style="956" customWidth="1"/>
    <col min="5373" max="5373" width="30.7109375" style="956" customWidth="1"/>
    <col min="5374" max="5375" width="10" style="956" customWidth="1"/>
    <col min="5376" max="5376" width="9.85546875" style="956" customWidth="1"/>
    <col min="5377" max="5377" width="12.42578125" style="956" customWidth="1"/>
    <col min="5378" max="5383" width="12.7109375" style="956" customWidth="1"/>
    <col min="5384" max="5384" width="13" style="956" customWidth="1"/>
    <col min="5385" max="5386" width="12.7109375" style="956" customWidth="1"/>
    <col min="5387" max="5387" width="9.140625" style="956"/>
    <col min="5388" max="5388" width="11.140625" style="956" bestFit="1" customWidth="1"/>
    <col min="5389" max="5627" width="9.140625" style="956"/>
    <col min="5628" max="5628" width="4" style="956" customWidth="1"/>
    <col min="5629" max="5629" width="30.7109375" style="956" customWidth="1"/>
    <col min="5630" max="5631" width="10" style="956" customWidth="1"/>
    <col min="5632" max="5632" width="9.85546875" style="956" customWidth="1"/>
    <col min="5633" max="5633" width="12.42578125" style="956" customWidth="1"/>
    <col min="5634" max="5639" width="12.7109375" style="956" customWidth="1"/>
    <col min="5640" max="5640" width="13" style="956" customWidth="1"/>
    <col min="5641" max="5642" width="12.7109375" style="956" customWidth="1"/>
    <col min="5643" max="5643" width="9.140625" style="956"/>
    <col min="5644" max="5644" width="11.140625" style="956" bestFit="1" customWidth="1"/>
    <col min="5645" max="5883" width="9.140625" style="956"/>
    <col min="5884" max="5884" width="4" style="956" customWidth="1"/>
    <col min="5885" max="5885" width="30.7109375" style="956" customWidth="1"/>
    <col min="5886" max="5887" width="10" style="956" customWidth="1"/>
    <col min="5888" max="5888" width="9.85546875" style="956" customWidth="1"/>
    <col min="5889" max="5889" width="12.42578125" style="956" customWidth="1"/>
    <col min="5890" max="5895" width="12.7109375" style="956" customWidth="1"/>
    <col min="5896" max="5896" width="13" style="956" customWidth="1"/>
    <col min="5897" max="5898" width="12.7109375" style="956" customWidth="1"/>
    <col min="5899" max="5899" width="9.140625" style="956"/>
    <col min="5900" max="5900" width="11.140625" style="956" bestFit="1" customWidth="1"/>
    <col min="5901" max="6139" width="9.140625" style="956"/>
    <col min="6140" max="6140" width="4" style="956" customWidth="1"/>
    <col min="6141" max="6141" width="30.7109375" style="956" customWidth="1"/>
    <col min="6142" max="6143" width="10" style="956" customWidth="1"/>
    <col min="6144" max="6144" width="9.85546875" style="956" customWidth="1"/>
    <col min="6145" max="6145" width="12.42578125" style="956" customWidth="1"/>
    <col min="6146" max="6151" width="12.7109375" style="956" customWidth="1"/>
    <col min="6152" max="6152" width="13" style="956" customWidth="1"/>
    <col min="6153" max="6154" width="12.7109375" style="956" customWidth="1"/>
    <col min="6155" max="6155" width="9.140625" style="956"/>
    <col min="6156" max="6156" width="11.140625" style="956" bestFit="1" customWidth="1"/>
    <col min="6157" max="6395" width="9.140625" style="956"/>
    <col min="6396" max="6396" width="4" style="956" customWidth="1"/>
    <col min="6397" max="6397" width="30.7109375" style="956" customWidth="1"/>
    <col min="6398" max="6399" width="10" style="956" customWidth="1"/>
    <col min="6400" max="6400" width="9.85546875" style="956" customWidth="1"/>
    <col min="6401" max="6401" width="12.42578125" style="956" customWidth="1"/>
    <col min="6402" max="6407" width="12.7109375" style="956" customWidth="1"/>
    <col min="6408" max="6408" width="13" style="956" customWidth="1"/>
    <col min="6409" max="6410" width="12.7109375" style="956" customWidth="1"/>
    <col min="6411" max="6411" width="9.140625" style="956"/>
    <col min="6412" max="6412" width="11.140625" style="956" bestFit="1" customWidth="1"/>
    <col min="6413" max="6651" width="9.140625" style="956"/>
    <col min="6652" max="6652" width="4" style="956" customWidth="1"/>
    <col min="6653" max="6653" width="30.7109375" style="956" customWidth="1"/>
    <col min="6654" max="6655" width="10" style="956" customWidth="1"/>
    <col min="6656" max="6656" width="9.85546875" style="956" customWidth="1"/>
    <col min="6657" max="6657" width="12.42578125" style="956" customWidth="1"/>
    <col min="6658" max="6663" width="12.7109375" style="956" customWidth="1"/>
    <col min="6664" max="6664" width="13" style="956" customWidth="1"/>
    <col min="6665" max="6666" width="12.7109375" style="956" customWidth="1"/>
    <col min="6667" max="6667" width="9.140625" style="956"/>
    <col min="6668" max="6668" width="11.140625" style="956" bestFit="1" customWidth="1"/>
    <col min="6669" max="6907" width="9.140625" style="956"/>
    <col min="6908" max="6908" width="4" style="956" customWidth="1"/>
    <col min="6909" max="6909" width="30.7109375" style="956" customWidth="1"/>
    <col min="6910" max="6911" width="10" style="956" customWidth="1"/>
    <col min="6912" max="6912" width="9.85546875" style="956" customWidth="1"/>
    <col min="6913" max="6913" width="12.42578125" style="956" customWidth="1"/>
    <col min="6914" max="6919" width="12.7109375" style="956" customWidth="1"/>
    <col min="6920" max="6920" width="13" style="956" customWidth="1"/>
    <col min="6921" max="6922" width="12.7109375" style="956" customWidth="1"/>
    <col min="6923" max="6923" width="9.140625" style="956"/>
    <col min="6924" max="6924" width="11.140625" style="956" bestFit="1" customWidth="1"/>
    <col min="6925" max="7163" width="9.140625" style="956"/>
    <col min="7164" max="7164" width="4" style="956" customWidth="1"/>
    <col min="7165" max="7165" width="30.7109375" style="956" customWidth="1"/>
    <col min="7166" max="7167" width="10" style="956" customWidth="1"/>
    <col min="7168" max="7168" width="9.85546875" style="956" customWidth="1"/>
    <col min="7169" max="7169" width="12.42578125" style="956" customWidth="1"/>
    <col min="7170" max="7175" width="12.7109375" style="956" customWidth="1"/>
    <col min="7176" max="7176" width="13" style="956" customWidth="1"/>
    <col min="7177" max="7178" width="12.7109375" style="956" customWidth="1"/>
    <col min="7179" max="7179" width="9.140625" style="956"/>
    <col min="7180" max="7180" width="11.140625" style="956" bestFit="1" customWidth="1"/>
    <col min="7181" max="7419" width="9.140625" style="956"/>
    <col min="7420" max="7420" width="4" style="956" customWidth="1"/>
    <col min="7421" max="7421" width="30.7109375" style="956" customWidth="1"/>
    <col min="7422" max="7423" width="10" style="956" customWidth="1"/>
    <col min="7424" max="7424" width="9.85546875" style="956" customWidth="1"/>
    <col min="7425" max="7425" width="12.42578125" style="956" customWidth="1"/>
    <col min="7426" max="7431" width="12.7109375" style="956" customWidth="1"/>
    <col min="7432" max="7432" width="13" style="956" customWidth="1"/>
    <col min="7433" max="7434" width="12.7109375" style="956" customWidth="1"/>
    <col min="7435" max="7435" width="9.140625" style="956"/>
    <col min="7436" max="7436" width="11.140625" style="956" bestFit="1" customWidth="1"/>
    <col min="7437" max="7675" width="9.140625" style="956"/>
    <col min="7676" max="7676" width="4" style="956" customWidth="1"/>
    <col min="7677" max="7677" width="30.7109375" style="956" customWidth="1"/>
    <col min="7678" max="7679" width="10" style="956" customWidth="1"/>
    <col min="7680" max="7680" width="9.85546875" style="956" customWidth="1"/>
    <col min="7681" max="7681" width="12.42578125" style="956" customWidth="1"/>
    <col min="7682" max="7687" width="12.7109375" style="956" customWidth="1"/>
    <col min="7688" max="7688" width="13" style="956" customWidth="1"/>
    <col min="7689" max="7690" width="12.7109375" style="956" customWidth="1"/>
    <col min="7691" max="7691" width="9.140625" style="956"/>
    <col min="7692" max="7692" width="11.140625" style="956" bestFit="1" customWidth="1"/>
    <col min="7693" max="7931" width="9.140625" style="956"/>
    <col min="7932" max="7932" width="4" style="956" customWidth="1"/>
    <col min="7933" max="7933" width="30.7109375" style="956" customWidth="1"/>
    <col min="7934" max="7935" width="10" style="956" customWidth="1"/>
    <col min="7936" max="7936" width="9.85546875" style="956" customWidth="1"/>
    <col min="7937" max="7937" width="12.42578125" style="956" customWidth="1"/>
    <col min="7938" max="7943" width="12.7109375" style="956" customWidth="1"/>
    <col min="7944" max="7944" width="13" style="956" customWidth="1"/>
    <col min="7945" max="7946" width="12.7109375" style="956" customWidth="1"/>
    <col min="7947" max="7947" width="9.140625" style="956"/>
    <col min="7948" max="7948" width="11.140625" style="956" bestFit="1" customWidth="1"/>
    <col min="7949" max="8187" width="9.140625" style="956"/>
    <col min="8188" max="8188" width="4" style="956" customWidth="1"/>
    <col min="8189" max="8189" width="30.7109375" style="956" customWidth="1"/>
    <col min="8190" max="8191" width="10" style="956" customWidth="1"/>
    <col min="8192" max="8192" width="9.85546875" style="956" customWidth="1"/>
    <col min="8193" max="8193" width="12.42578125" style="956" customWidth="1"/>
    <col min="8194" max="8199" width="12.7109375" style="956" customWidth="1"/>
    <col min="8200" max="8200" width="13" style="956" customWidth="1"/>
    <col min="8201" max="8202" width="12.7109375" style="956" customWidth="1"/>
    <col min="8203" max="8203" width="9.140625" style="956"/>
    <col min="8204" max="8204" width="11.140625" style="956" bestFit="1" customWidth="1"/>
    <col min="8205" max="8443" width="9.140625" style="956"/>
    <col min="8444" max="8444" width="4" style="956" customWidth="1"/>
    <col min="8445" max="8445" width="30.7109375" style="956" customWidth="1"/>
    <col min="8446" max="8447" width="10" style="956" customWidth="1"/>
    <col min="8448" max="8448" width="9.85546875" style="956" customWidth="1"/>
    <col min="8449" max="8449" width="12.42578125" style="956" customWidth="1"/>
    <col min="8450" max="8455" width="12.7109375" style="956" customWidth="1"/>
    <col min="8456" max="8456" width="13" style="956" customWidth="1"/>
    <col min="8457" max="8458" width="12.7109375" style="956" customWidth="1"/>
    <col min="8459" max="8459" width="9.140625" style="956"/>
    <col min="8460" max="8460" width="11.140625" style="956" bestFit="1" customWidth="1"/>
    <col min="8461" max="8699" width="9.140625" style="956"/>
    <col min="8700" max="8700" width="4" style="956" customWidth="1"/>
    <col min="8701" max="8701" width="30.7109375" style="956" customWidth="1"/>
    <col min="8702" max="8703" width="10" style="956" customWidth="1"/>
    <col min="8704" max="8704" width="9.85546875" style="956" customWidth="1"/>
    <col min="8705" max="8705" width="12.42578125" style="956" customWidth="1"/>
    <col min="8706" max="8711" width="12.7109375" style="956" customWidth="1"/>
    <col min="8712" max="8712" width="13" style="956" customWidth="1"/>
    <col min="8713" max="8714" width="12.7109375" style="956" customWidth="1"/>
    <col min="8715" max="8715" width="9.140625" style="956"/>
    <col min="8716" max="8716" width="11.140625" style="956" bestFit="1" customWidth="1"/>
    <col min="8717" max="8955" width="9.140625" style="956"/>
    <col min="8956" max="8956" width="4" style="956" customWidth="1"/>
    <col min="8957" max="8957" width="30.7109375" style="956" customWidth="1"/>
    <col min="8958" max="8959" width="10" style="956" customWidth="1"/>
    <col min="8960" max="8960" width="9.85546875" style="956" customWidth="1"/>
    <col min="8961" max="8961" width="12.42578125" style="956" customWidth="1"/>
    <col min="8962" max="8967" width="12.7109375" style="956" customWidth="1"/>
    <col min="8968" max="8968" width="13" style="956" customWidth="1"/>
    <col min="8969" max="8970" width="12.7109375" style="956" customWidth="1"/>
    <col min="8971" max="8971" width="9.140625" style="956"/>
    <col min="8972" max="8972" width="11.140625" style="956" bestFit="1" customWidth="1"/>
    <col min="8973" max="9211" width="9.140625" style="956"/>
    <col min="9212" max="9212" width="4" style="956" customWidth="1"/>
    <col min="9213" max="9213" width="30.7109375" style="956" customWidth="1"/>
    <col min="9214" max="9215" width="10" style="956" customWidth="1"/>
    <col min="9216" max="9216" width="9.85546875" style="956" customWidth="1"/>
    <col min="9217" max="9217" width="12.42578125" style="956" customWidth="1"/>
    <col min="9218" max="9223" width="12.7109375" style="956" customWidth="1"/>
    <col min="9224" max="9224" width="13" style="956" customWidth="1"/>
    <col min="9225" max="9226" width="12.7109375" style="956" customWidth="1"/>
    <col min="9227" max="9227" width="9.140625" style="956"/>
    <col min="9228" max="9228" width="11.140625" style="956" bestFit="1" customWidth="1"/>
    <col min="9229" max="9467" width="9.140625" style="956"/>
    <col min="9468" max="9468" width="4" style="956" customWidth="1"/>
    <col min="9469" max="9469" width="30.7109375" style="956" customWidth="1"/>
    <col min="9470" max="9471" width="10" style="956" customWidth="1"/>
    <col min="9472" max="9472" width="9.85546875" style="956" customWidth="1"/>
    <col min="9473" max="9473" width="12.42578125" style="956" customWidth="1"/>
    <col min="9474" max="9479" width="12.7109375" style="956" customWidth="1"/>
    <col min="9480" max="9480" width="13" style="956" customWidth="1"/>
    <col min="9481" max="9482" width="12.7109375" style="956" customWidth="1"/>
    <col min="9483" max="9483" width="9.140625" style="956"/>
    <col min="9484" max="9484" width="11.140625" style="956" bestFit="1" customWidth="1"/>
    <col min="9485" max="9723" width="9.140625" style="956"/>
    <col min="9724" max="9724" width="4" style="956" customWidth="1"/>
    <col min="9725" max="9725" width="30.7109375" style="956" customWidth="1"/>
    <col min="9726" max="9727" width="10" style="956" customWidth="1"/>
    <col min="9728" max="9728" width="9.85546875" style="956" customWidth="1"/>
    <col min="9729" max="9729" width="12.42578125" style="956" customWidth="1"/>
    <col min="9730" max="9735" width="12.7109375" style="956" customWidth="1"/>
    <col min="9736" max="9736" width="13" style="956" customWidth="1"/>
    <col min="9737" max="9738" width="12.7109375" style="956" customWidth="1"/>
    <col min="9739" max="9739" width="9.140625" style="956"/>
    <col min="9740" max="9740" width="11.140625" style="956" bestFit="1" customWidth="1"/>
    <col min="9741" max="9979" width="9.140625" style="956"/>
    <col min="9980" max="9980" width="4" style="956" customWidth="1"/>
    <col min="9981" max="9981" width="30.7109375" style="956" customWidth="1"/>
    <col min="9982" max="9983" width="10" style="956" customWidth="1"/>
    <col min="9984" max="9984" width="9.85546875" style="956" customWidth="1"/>
    <col min="9985" max="9985" width="12.42578125" style="956" customWidth="1"/>
    <col min="9986" max="9991" width="12.7109375" style="956" customWidth="1"/>
    <col min="9992" max="9992" width="13" style="956" customWidth="1"/>
    <col min="9993" max="9994" width="12.7109375" style="956" customWidth="1"/>
    <col min="9995" max="9995" width="9.140625" style="956"/>
    <col min="9996" max="9996" width="11.140625" style="956" bestFit="1" customWidth="1"/>
    <col min="9997" max="10235" width="9.140625" style="956"/>
    <col min="10236" max="10236" width="4" style="956" customWidth="1"/>
    <col min="10237" max="10237" width="30.7109375" style="956" customWidth="1"/>
    <col min="10238" max="10239" width="10" style="956" customWidth="1"/>
    <col min="10240" max="10240" width="9.85546875" style="956" customWidth="1"/>
    <col min="10241" max="10241" width="12.42578125" style="956" customWidth="1"/>
    <col min="10242" max="10247" width="12.7109375" style="956" customWidth="1"/>
    <col min="10248" max="10248" width="13" style="956" customWidth="1"/>
    <col min="10249" max="10250" width="12.7109375" style="956" customWidth="1"/>
    <col min="10251" max="10251" width="9.140625" style="956"/>
    <col min="10252" max="10252" width="11.140625" style="956" bestFit="1" customWidth="1"/>
    <col min="10253" max="10491" width="9.140625" style="956"/>
    <col min="10492" max="10492" width="4" style="956" customWidth="1"/>
    <col min="10493" max="10493" width="30.7109375" style="956" customWidth="1"/>
    <col min="10494" max="10495" width="10" style="956" customWidth="1"/>
    <col min="10496" max="10496" width="9.85546875" style="956" customWidth="1"/>
    <col min="10497" max="10497" width="12.42578125" style="956" customWidth="1"/>
    <col min="10498" max="10503" width="12.7109375" style="956" customWidth="1"/>
    <col min="10504" max="10504" width="13" style="956" customWidth="1"/>
    <col min="10505" max="10506" width="12.7109375" style="956" customWidth="1"/>
    <col min="10507" max="10507" width="9.140625" style="956"/>
    <col min="10508" max="10508" width="11.140625" style="956" bestFit="1" customWidth="1"/>
    <col min="10509" max="10747" width="9.140625" style="956"/>
    <col min="10748" max="10748" width="4" style="956" customWidth="1"/>
    <col min="10749" max="10749" width="30.7109375" style="956" customWidth="1"/>
    <col min="10750" max="10751" width="10" style="956" customWidth="1"/>
    <col min="10752" max="10752" width="9.85546875" style="956" customWidth="1"/>
    <col min="10753" max="10753" width="12.42578125" style="956" customWidth="1"/>
    <col min="10754" max="10759" width="12.7109375" style="956" customWidth="1"/>
    <col min="10760" max="10760" width="13" style="956" customWidth="1"/>
    <col min="10761" max="10762" width="12.7109375" style="956" customWidth="1"/>
    <col min="10763" max="10763" width="9.140625" style="956"/>
    <col min="10764" max="10764" width="11.140625" style="956" bestFit="1" customWidth="1"/>
    <col min="10765" max="11003" width="9.140625" style="956"/>
    <col min="11004" max="11004" width="4" style="956" customWidth="1"/>
    <col min="11005" max="11005" width="30.7109375" style="956" customWidth="1"/>
    <col min="11006" max="11007" width="10" style="956" customWidth="1"/>
    <col min="11008" max="11008" width="9.85546875" style="956" customWidth="1"/>
    <col min="11009" max="11009" width="12.42578125" style="956" customWidth="1"/>
    <col min="11010" max="11015" width="12.7109375" style="956" customWidth="1"/>
    <col min="11016" max="11016" width="13" style="956" customWidth="1"/>
    <col min="11017" max="11018" width="12.7109375" style="956" customWidth="1"/>
    <col min="11019" max="11019" width="9.140625" style="956"/>
    <col min="11020" max="11020" width="11.140625" style="956" bestFit="1" customWidth="1"/>
    <col min="11021" max="11259" width="9.140625" style="956"/>
    <col min="11260" max="11260" width="4" style="956" customWidth="1"/>
    <col min="11261" max="11261" width="30.7109375" style="956" customWidth="1"/>
    <col min="11262" max="11263" width="10" style="956" customWidth="1"/>
    <col min="11264" max="11264" width="9.85546875" style="956" customWidth="1"/>
    <col min="11265" max="11265" width="12.42578125" style="956" customWidth="1"/>
    <col min="11266" max="11271" width="12.7109375" style="956" customWidth="1"/>
    <col min="11272" max="11272" width="13" style="956" customWidth="1"/>
    <col min="11273" max="11274" width="12.7109375" style="956" customWidth="1"/>
    <col min="11275" max="11275" width="9.140625" style="956"/>
    <col min="11276" max="11276" width="11.140625" style="956" bestFit="1" customWidth="1"/>
    <col min="11277" max="11515" width="9.140625" style="956"/>
    <col min="11516" max="11516" width="4" style="956" customWidth="1"/>
    <col min="11517" max="11517" width="30.7109375" style="956" customWidth="1"/>
    <col min="11518" max="11519" width="10" style="956" customWidth="1"/>
    <col min="11520" max="11520" width="9.85546875" style="956" customWidth="1"/>
    <col min="11521" max="11521" width="12.42578125" style="956" customWidth="1"/>
    <col min="11522" max="11527" width="12.7109375" style="956" customWidth="1"/>
    <col min="11528" max="11528" width="13" style="956" customWidth="1"/>
    <col min="11529" max="11530" width="12.7109375" style="956" customWidth="1"/>
    <col min="11531" max="11531" width="9.140625" style="956"/>
    <col min="11532" max="11532" width="11.140625" style="956" bestFit="1" customWidth="1"/>
    <col min="11533" max="11771" width="9.140625" style="956"/>
    <col min="11772" max="11772" width="4" style="956" customWidth="1"/>
    <col min="11773" max="11773" width="30.7109375" style="956" customWidth="1"/>
    <col min="11774" max="11775" width="10" style="956" customWidth="1"/>
    <col min="11776" max="11776" width="9.85546875" style="956" customWidth="1"/>
    <col min="11777" max="11777" width="12.42578125" style="956" customWidth="1"/>
    <col min="11778" max="11783" width="12.7109375" style="956" customWidth="1"/>
    <col min="11784" max="11784" width="13" style="956" customWidth="1"/>
    <col min="11785" max="11786" width="12.7109375" style="956" customWidth="1"/>
    <col min="11787" max="11787" width="9.140625" style="956"/>
    <col min="11788" max="11788" width="11.140625" style="956" bestFit="1" customWidth="1"/>
    <col min="11789" max="12027" width="9.140625" style="956"/>
    <col min="12028" max="12028" width="4" style="956" customWidth="1"/>
    <col min="12029" max="12029" width="30.7109375" style="956" customWidth="1"/>
    <col min="12030" max="12031" width="10" style="956" customWidth="1"/>
    <col min="12032" max="12032" width="9.85546875" style="956" customWidth="1"/>
    <col min="12033" max="12033" width="12.42578125" style="956" customWidth="1"/>
    <col min="12034" max="12039" width="12.7109375" style="956" customWidth="1"/>
    <col min="12040" max="12040" width="13" style="956" customWidth="1"/>
    <col min="12041" max="12042" width="12.7109375" style="956" customWidth="1"/>
    <col min="12043" max="12043" width="9.140625" style="956"/>
    <col min="12044" max="12044" width="11.140625" style="956" bestFit="1" customWidth="1"/>
    <col min="12045" max="12283" width="9.140625" style="956"/>
    <col min="12284" max="12284" width="4" style="956" customWidth="1"/>
    <col min="12285" max="12285" width="30.7109375" style="956" customWidth="1"/>
    <col min="12286" max="12287" width="10" style="956" customWidth="1"/>
    <col min="12288" max="12288" width="9.85546875" style="956" customWidth="1"/>
    <col min="12289" max="12289" width="12.42578125" style="956" customWidth="1"/>
    <col min="12290" max="12295" width="12.7109375" style="956" customWidth="1"/>
    <col min="12296" max="12296" width="13" style="956" customWidth="1"/>
    <col min="12297" max="12298" width="12.7109375" style="956" customWidth="1"/>
    <col min="12299" max="12299" width="9.140625" style="956"/>
    <col min="12300" max="12300" width="11.140625" style="956" bestFit="1" customWidth="1"/>
    <col min="12301" max="12539" width="9.140625" style="956"/>
    <col min="12540" max="12540" width="4" style="956" customWidth="1"/>
    <col min="12541" max="12541" width="30.7109375" style="956" customWidth="1"/>
    <col min="12542" max="12543" width="10" style="956" customWidth="1"/>
    <col min="12544" max="12544" width="9.85546875" style="956" customWidth="1"/>
    <col min="12545" max="12545" width="12.42578125" style="956" customWidth="1"/>
    <col min="12546" max="12551" width="12.7109375" style="956" customWidth="1"/>
    <col min="12552" max="12552" width="13" style="956" customWidth="1"/>
    <col min="12553" max="12554" width="12.7109375" style="956" customWidth="1"/>
    <col min="12555" max="12555" width="9.140625" style="956"/>
    <col min="12556" max="12556" width="11.140625" style="956" bestFit="1" customWidth="1"/>
    <col min="12557" max="12795" width="9.140625" style="956"/>
    <col min="12796" max="12796" width="4" style="956" customWidth="1"/>
    <col min="12797" max="12797" width="30.7109375" style="956" customWidth="1"/>
    <col min="12798" max="12799" width="10" style="956" customWidth="1"/>
    <col min="12800" max="12800" width="9.85546875" style="956" customWidth="1"/>
    <col min="12801" max="12801" width="12.42578125" style="956" customWidth="1"/>
    <col min="12802" max="12807" width="12.7109375" style="956" customWidth="1"/>
    <col min="12808" max="12808" width="13" style="956" customWidth="1"/>
    <col min="12809" max="12810" width="12.7109375" style="956" customWidth="1"/>
    <col min="12811" max="12811" width="9.140625" style="956"/>
    <col min="12812" max="12812" width="11.140625" style="956" bestFit="1" customWidth="1"/>
    <col min="12813" max="13051" width="9.140625" style="956"/>
    <col min="13052" max="13052" width="4" style="956" customWidth="1"/>
    <col min="13053" max="13053" width="30.7109375" style="956" customWidth="1"/>
    <col min="13054" max="13055" width="10" style="956" customWidth="1"/>
    <col min="13056" max="13056" width="9.85546875" style="956" customWidth="1"/>
    <col min="13057" max="13057" width="12.42578125" style="956" customWidth="1"/>
    <col min="13058" max="13063" width="12.7109375" style="956" customWidth="1"/>
    <col min="13064" max="13064" width="13" style="956" customWidth="1"/>
    <col min="13065" max="13066" width="12.7109375" style="956" customWidth="1"/>
    <col min="13067" max="13067" width="9.140625" style="956"/>
    <col min="13068" max="13068" width="11.140625" style="956" bestFit="1" customWidth="1"/>
    <col min="13069" max="13307" width="9.140625" style="956"/>
    <col min="13308" max="13308" width="4" style="956" customWidth="1"/>
    <col min="13309" max="13309" width="30.7109375" style="956" customWidth="1"/>
    <col min="13310" max="13311" width="10" style="956" customWidth="1"/>
    <col min="13312" max="13312" width="9.85546875" style="956" customWidth="1"/>
    <col min="13313" max="13313" width="12.42578125" style="956" customWidth="1"/>
    <col min="13314" max="13319" width="12.7109375" style="956" customWidth="1"/>
    <col min="13320" max="13320" width="13" style="956" customWidth="1"/>
    <col min="13321" max="13322" width="12.7109375" style="956" customWidth="1"/>
    <col min="13323" max="13323" width="9.140625" style="956"/>
    <col min="13324" max="13324" width="11.140625" style="956" bestFit="1" customWidth="1"/>
    <col min="13325" max="13563" width="9.140625" style="956"/>
    <col min="13564" max="13564" width="4" style="956" customWidth="1"/>
    <col min="13565" max="13565" width="30.7109375" style="956" customWidth="1"/>
    <col min="13566" max="13567" width="10" style="956" customWidth="1"/>
    <col min="13568" max="13568" width="9.85546875" style="956" customWidth="1"/>
    <col min="13569" max="13569" width="12.42578125" style="956" customWidth="1"/>
    <col min="13570" max="13575" width="12.7109375" style="956" customWidth="1"/>
    <col min="13576" max="13576" width="13" style="956" customWidth="1"/>
    <col min="13577" max="13578" width="12.7109375" style="956" customWidth="1"/>
    <col min="13579" max="13579" width="9.140625" style="956"/>
    <col min="13580" max="13580" width="11.140625" style="956" bestFit="1" customWidth="1"/>
    <col min="13581" max="13819" width="9.140625" style="956"/>
    <col min="13820" max="13820" width="4" style="956" customWidth="1"/>
    <col min="13821" max="13821" width="30.7109375" style="956" customWidth="1"/>
    <col min="13822" max="13823" width="10" style="956" customWidth="1"/>
    <col min="13824" max="13824" width="9.85546875" style="956" customWidth="1"/>
    <col min="13825" max="13825" width="12.42578125" style="956" customWidth="1"/>
    <col min="13826" max="13831" width="12.7109375" style="956" customWidth="1"/>
    <col min="13832" max="13832" width="13" style="956" customWidth="1"/>
    <col min="13833" max="13834" width="12.7109375" style="956" customWidth="1"/>
    <col min="13835" max="13835" width="9.140625" style="956"/>
    <col min="13836" max="13836" width="11.140625" style="956" bestFit="1" customWidth="1"/>
    <col min="13837" max="14075" width="9.140625" style="956"/>
    <col min="14076" max="14076" width="4" style="956" customWidth="1"/>
    <col min="14077" max="14077" width="30.7109375" style="956" customWidth="1"/>
    <col min="14078" max="14079" width="10" style="956" customWidth="1"/>
    <col min="14080" max="14080" width="9.85546875" style="956" customWidth="1"/>
    <col min="14081" max="14081" width="12.42578125" style="956" customWidth="1"/>
    <col min="14082" max="14087" width="12.7109375" style="956" customWidth="1"/>
    <col min="14088" max="14088" width="13" style="956" customWidth="1"/>
    <col min="14089" max="14090" width="12.7109375" style="956" customWidth="1"/>
    <col min="14091" max="14091" width="9.140625" style="956"/>
    <col min="14092" max="14092" width="11.140625" style="956" bestFit="1" customWidth="1"/>
    <col min="14093" max="14331" width="9.140625" style="956"/>
    <col min="14332" max="14332" width="4" style="956" customWidth="1"/>
    <col min="14333" max="14333" width="30.7109375" style="956" customWidth="1"/>
    <col min="14334" max="14335" width="10" style="956" customWidth="1"/>
    <col min="14336" max="14336" width="9.85546875" style="956" customWidth="1"/>
    <col min="14337" max="14337" width="12.42578125" style="956" customWidth="1"/>
    <col min="14338" max="14343" width="12.7109375" style="956" customWidth="1"/>
    <col min="14344" max="14344" width="13" style="956" customWidth="1"/>
    <col min="14345" max="14346" width="12.7109375" style="956" customWidth="1"/>
    <col min="14347" max="14347" width="9.140625" style="956"/>
    <col min="14348" max="14348" width="11.140625" style="956" bestFit="1" customWidth="1"/>
    <col min="14349" max="14587" width="9.140625" style="956"/>
    <col min="14588" max="14588" width="4" style="956" customWidth="1"/>
    <col min="14589" max="14589" width="30.7109375" style="956" customWidth="1"/>
    <col min="14590" max="14591" width="10" style="956" customWidth="1"/>
    <col min="14592" max="14592" width="9.85546875" style="956" customWidth="1"/>
    <col min="14593" max="14593" width="12.42578125" style="956" customWidth="1"/>
    <col min="14594" max="14599" width="12.7109375" style="956" customWidth="1"/>
    <col min="14600" max="14600" width="13" style="956" customWidth="1"/>
    <col min="14601" max="14602" width="12.7109375" style="956" customWidth="1"/>
    <col min="14603" max="14603" width="9.140625" style="956"/>
    <col min="14604" max="14604" width="11.140625" style="956" bestFit="1" customWidth="1"/>
    <col min="14605" max="14843" width="9.140625" style="956"/>
    <col min="14844" max="14844" width="4" style="956" customWidth="1"/>
    <col min="14845" max="14845" width="30.7109375" style="956" customWidth="1"/>
    <col min="14846" max="14847" width="10" style="956" customWidth="1"/>
    <col min="14848" max="14848" width="9.85546875" style="956" customWidth="1"/>
    <col min="14849" max="14849" width="12.42578125" style="956" customWidth="1"/>
    <col min="14850" max="14855" width="12.7109375" style="956" customWidth="1"/>
    <col min="14856" max="14856" width="13" style="956" customWidth="1"/>
    <col min="14857" max="14858" width="12.7109375" style="956" customWidth="1"/>
    <col min="14859" max="14859" width="9.140625" style="956"/>
    <col min="14860" max="14860" width="11.140625" style="956" bestFit="1" customWidth="1"/>
    <col min="14861" max="15099" width="9.140625" style="956"/>
    <col min="15100" max="15100" width="4" style="956" customWidth="1"/>
    <col min="15101" max="15101" width="30.7109375" style="956" customWidth="1"/>
    <col min="15102" max="15103" width="10" style="956" customWidth="1"/>
    <col min="15104" max="15104" width="9.85546875" style="956" customWidth="1"/>
    <col min="15105" max="15105" width="12.42578125" style="956" customWidth="1"/>
    <col min="15106" max="15111" width="12.7109375" style="956" customWidth="1"/>
    <col min="15112" max="15112" width="13" style="956" customWidth="1"/>
    <col min="15113" max="15114" width="12.7109375" style="956" customWidth="1"/>
    <col min="15115" max="15115" width="9.140625" style="956"/>
    <col min="15116" max="15116" width="11.140625" style="956" bestFit="1" customWidth="1"/>
    <col min="15117" max="15355" width="9.140625" style="956"/>
    <col min="15356" max="15356" width="4" style="956" customWidth="1"/>
    <col min="15357" max="15357" width="30.7109375" style="956" customWidth="1"/>
    <col min="15358" max="15359" width="10" style="956" customWidth="1"/>
    <col min="15360" max="15360" width="9.85546875" style="956" customWidth="1"/>
    <col min="15361" max="15361" width="12.42578125" style="956" customWidth="1"/>
    <col min="15362" max="15367" width="12.7109375" style="956" customWidth="1"/>
    <col min="15368" max="15368" width="13" style="956" customWidth="1"/>
    <col min="15369" max="15370" width="12.7109375" style="956" customWidth="1"/>
    <col min="15371" max="15371" width="9.140625" style="956"/>
    <col min="15372" max="15372" width="11.140625" style="956" bestFit="1" customWidth="1"/>
    <col min="15373" max="15611" width="9.140625" style="956"/>
    <col min="15612" max="15612" width="4" style="956" customWidth="1"/>
    <col min="15613" max="15613" width="30.7109375" style="956" customWidth="1"/>
    <col min="15614" max="15615" width="10" style="956" customWidth="1"/>
    <col min="15616" max="15616" width="9.85546875" style="956" customWidth="1"/>
    <col min="15617" max="15617" width="12.42578125" style="956" customWidth="1"/>
    <col min="15618" max="15623" width="12.7109375" style="956" customWidth="1"/>
    <col min="15624" max="15624" width="13" style="956" customWidth="1"/>
    <col min="15625" max="15626" width="12.7109375" style="956" customWidth="1"/>
    <col min="15627" max="15627" width="9.140625" style="956"/>
    <col min="15628" max="15628" width="11.140625" style="956" bestFit="1" customWidth="1"/>
    <col min="15629" max="15867" width="9.140625" style="956"/>
    <col min="15868" max="15868" width="4" style="956" customWidth="1"/>
    <col min="15869" max="15869" width="30.7109375" style="956" customWidth="1"/>
    <col min="15870" max="15871" width="10" style="956" customWidth="1"/>
    <col min="15872" max="15872" width="9.85546875" style="956" customWidth="1"/>
    <col min="15873" max="15873" width="12.42578125" style="956" customWidth="1"/>
    <col min="15874" max="15879" width="12.7109375" style="956" customWidth="1"/>
    <col min="15880" max="15880" width="13" style="956" customWidth="1"/>
    <col min="15881" max="15882" width="12.7109375" style="956" customWidth="1"/>
    <col min="15883" max="15883" width="9.140625" style="956"/>
    <col min="15884" max="15884" width="11.140625" style="956" bestFit="1" customWidth="1"/>
    <col min="15885" max="16123" width="9.140625" style="956"/>
    <col min="16124" max="16124" width="4" style="956" customWidth="1"/>
    <col min="16125" max="16125" width="30.7109375" style="956" customWidth="1"/>
    <col min="16126" max="16127" width="10" style="956" customWidth="1"/>
    <col min="16128" max="16128" width="9.85546875" style="956" customWidth="1"/>
    <col min="16129" max="16129" width="12.42578125" style="956" customWidth="1"/>
    <col min="16130" max="16135" width="12.7109375" style="956" customWidth="1"/>
    <col min="16136" max="16136" width="13" style="956" customWidth="1"/>
    <col min="16137" max="16138" width="12.7109375" style="956" customWidth="1"/>
    <col min="16139" max="16139" width="9.140625" style="956"/>
    <col min="16140" max="16140" width="11.140625" style="956" bestFit="1" customWidth="1"/>
    <col min="16141" max="16384" width="9.140625" style="956"/>
  </cols>
  <sheetData>
    <row r="1" spans="1:18" s="954" customFormat="1" ht="13.5" thickBot="1">
      <c r="A1" s="954" t="s">
        <v>15</v>
      </c>
      <c r="B1" s="955"/>
      <c r="D1" s="955"/>
    </row>
    <row r="2" spans="1:18" ht="23.25" thickBot="1">
      <c r="A2" s="1724" t="s">
        <v>16</v>
      </c>
      <c r="B2" s="1725"/>
      <c r="C2" s="1725"/>
      <c r="D2" s="1725"/>
      <c r="E2" s="1725"/>
      <c r="F2" s="1725"/>
      <c r="G2" s="1725"/>
      <c r="H2" s="1725"/>
      <c r="I2" s="1725"/>
      <c r="J2" s="1725"/>
      <c r="K2" s="1725"/>
      <c r="L2" s="1725"/>
      <c r="M2" s="1725"/>
    </row>
    <row r="3" spans="1:18" ht="16.5" thickBot="1">
      <c r="A3" s="1726" t="s">
        <v>17</v>
      </c>
      <c r="B3" s="1727"/>
      <c r="C3" s="1727"/>
      <c r="D3" s="1727"/>
      <c r="E3" s="1727"/>
      <c r="F3" s="1727"/>
      <c r="G3" s="1727"/>
      <c r="H3" s="1727"/>
      <c r="I3" s="1727"/>
      <c r="J3" s="1727"/>
      <c r="K3" s="1727"/>
      <c r="L3" s="1727"/>
      <c r="M3" s="1727"/>
    </row>
    <row r="4" spans="1:18" ht="26.25" thickBot="1">
      <c r="A4" s="957" t="s">
        <v>18</v>
      </c>
      <c r="B4" s="958"/>
      <c r="C4" s="959" t="s">
        <v>19</v>
      </c>
      <c r="D4" s="959"/>
      <c r="E4" s="960"/>
      <c r="F4" s="1728" t="s">
        <v>20</v>
      </c>
      <c r="G4" s="1131"/>
      <c r="H4" s="961" t="s">
        <v>21</v>
      </c>
      <c r="I4" s="762"/>
      <c r="J4" s="354"/>
      <c r="K4" s="354"/>
      <c r="L4" s="962" t="s">
        <v>22</v>
      </c>
      <c r="M4" s="963" t="s">
        <v>23</v>
      </c>
    </row>
    <row r="5" spans="1:18" ht="26.25" thickBot="1">
      <c r="A5" s="964" t="s">
        <v>26</v>
      </c>
      <c r="B5" s="965"/>
      <c r="C5" s="966" t="s">
        <v>27</v>
      </c>
      <c r="D5" s="966"/>
      <c r="E5" s="967"/>
      <c r="F5" s="1729"/>
      <c r="G5" s="1132"/>
      <c r="H5" s="968" t="s">
        <v>28</v>
      </c>
      <c r="I5" s="354"/>
      <c r="J5" s="1305"/>
      <c r="K5" s="1305"/>
      <c r="L5" s="969" t="s">
        <v>29</v>
      </c>
      <c r="M5" s="970"/>
      <c r="N5" s="1306" t="s">
        <v>18</v>
      </c>
      <c r="O5" s="1307" t="s">
        <v>31</v>
      </c>
    </row>
    <row r="6" spans="1:18" ht="13.5" thickBot="1">
      <c r="A6" s="971"/>
      <c r="B6" s="972"/>
      <c r="E6" s="974"/>
      <c r="F6" s="355"/>
      <c r="G6" s="355"/>
      <c r="H6" s="976"/>
      <c r="I6" s="974"/>
      <c r="J6" s="974"/>
      <c r="K6" s="974"/>
      <c r="L6" s="974"/>
      <c r="M6" s="974"/>
    </row>
    <row r="7" spans="1:18" ht="28.5" customHeight="1" thickBot="1">
      <c r="A7" s="1730" t="s">
        <v>32</v>
      </c>
      <c r="B7" s="1733" t="s">
        <v>33</v>
      </c>
      <c r="C7" s="1733" t="s">
        <v>1571</v>
      </c>
      <c r="D7" s="1133"/>
      <c r="E7" s="1783" t="s">
        <v>35</v>
      </c>
      <c r="F7" s="1741" t="s">
        <v>36</v>
      </c>
      <c r="G7" s="1355"/>
      <c r="H7" s="1798" t="s">
        <v>1251</v>
      </c>
      <c r="I7" s="1799"/>
      <c r="J7" s="1763" t="s">
        <v>1613</v>
      </c>
      <c r="K7" s="1764"/>
      <c r="L7" s="1800" t="s">
        <v>1573</v>
      </c>
      <c r="M7" s="1801"/>
    </row>
    <row r="8" spans="1:18" ht="47.25" customHeight="1">
      <c r="A8" s="1731"/>
      <c r="B8" s="1734"/>
      <c r="C8" s="1736"/>
      <c r="D8" s="1134"/>
      <c r="E8" s="1784"/>
      <c r="F8" s="1742"/>
      <c r="G8" s="1356" t="s">
        <v>1609</v>
      </c>
      <c r="H8" s="1308"/>
      <c r="I8" s="1137"/>
      <c r="J8" s="1755"/>
      <c r="K8" s="1802"/>
      <c r="L8" s="1803" t="s">
        <v>1574</v>
      </c>
      <c r="M8" s="1804"/>
    </row>
    <row r="9" spans="1:18" ht="29.25" customHeight="1" thickBot="1">
      <c r="A9" s="1731"/>
      <c r="B9" s="1734"/>
      <c r="C9" s="1736"/>
      <c r="D9" s="1134" t="s">
        <v>1575</v>
      </c>
      <c r="E9" s="1784"/>
      <c r="F9" s="1742"/>
      <c r="G9" s="1356" t="s">
        <v>1610</v>
      </c>
      <c r="H9" s="1793" t="s">
        <v>1576</v>
      </c>
      <c r="I9" s="1793"/>
      <c r="J9" s="1792" t="s">
        <v>1614</v>
      </c>
      <c r="K9" s="1805"/>
      <c r="L9" s="1792" t="s">
        <v>1578</v>
      </c>
      <c r="M9" s="1805"/>
      <c r="N9" s="980"/>
    </row>
    <row r="10" spans="1:18" ht="39" customHeight="1" thickBot="1">
      <c r="A10" s="1731"/>
      <c r="B10" s="1734"/>
      <c r="C10" s="1736"/>
      <c r="D10" s="1134"/>
      <c r="E10" s="1784"/>
      <c r="F10" s="1742"/>
      <c r="G10" s="1356"/>
      <c r="H10" s="1791" t="s">
        <v>1579</v>
      </c>
      <c r="I10" s="1791"/>
      <c r="J10" s="1792" t="s">
        <v>1615</v>
      </c>
      <c r="K10" s="1792"/>
      <c r="L10" s="1793" t="s">
        <v>1581</v>
      </c>
      <c r="M10" s="1794"/>
      <c r="P10" s="1795" t="s">
        <v>1582</v>
      </c>
      <c r="Q10" s="1795"/>
    </row>
    <row r="11" spans="1:18" ht="13.5" thickBot="1">
      <c r="A11" s="1731"/>
      <c r="B11" s="1734"/>
      <c r="C11" s="1736"/>
      <c r="D11" s="1134"/>
      <c r="E11" s="1784"/>
      <c r="F11" s="1742"/>
      <c r="G11" s="1356"/>
      <c r="H11" s="1715" t="s">
        <v>46</v>
      </c>
      <c r="I11" s="1715"/>
      <c r="J11" s="1796" t="s">
        <v>46</v>
      </c>
      <c r="K11" s="1797"/>
      <c r="L11" s="1716" t="s">
        <v>46</v>
      </c>
      <c r="M11" s="1715"/>
      <c r="N11" s="980"/>
    </row>
    <row r="12" spans="1:18" ht="13.5" thickBot="1">
      <c r="A12" s="1731"/>
      <c r="B12" s="1735"/>
      <c r="C12" s="1737"/>
      <c r="D12" s="1309"/>
      <c r="E12" s="1785"/>
      <c r="F12" s="1743"/>
      <c r="G12" s="1357"/>
      <c r="H12" s="1310" t="s">
        <v>47</v>
      </c>
      <c r="I12" s="1311" t="s">
        <v>48</v>
      </c>
      <c r="J12" s="1312" t="s">
        <v>47</v>
      </c>
      <c r="K12" s="1313" t="s">
        <v>48</v>
      </c>
      <c r="L12" s="1312" t="s">
        <v>47</v>
      </c>
      <c r="M12" s="1311" t="s">
        <v>48</v>
      </c>
    </row>
    <row r="13" spans="1:18" ht="15.75" thickBot="1">
      <c r="A13" s="1314">
        <v>4</v>
      </c>
      <c r="B13" s="1315" t="s">
        <v>1562</v>
      </c>
      <c r="C13" s="1352" t="s">
        <v>1603</v>
      </c>
      <c r="D13" s="1317" t="s">
        <v>1604</v>
      </c>
      <c r="E13" s="1317" t="s">
        <v>1564</v>
      </c>
      <c r="F13" s="1318">
        <f>420+2200</f>
        <v>2620</v>
      </c>
      <c r="G13" s="1386">
        <f>F13*(D13-K13)</f>
        <v>49780</v>
      </c>
      <c r="H13" s="1324">
        <v>195</v>
      </c>
      <c r="I13" s="1320">
        <f>H13-19</f>
        <v>176</v>
      </c>
      <c r="J13" s="1325">
        <v>165</v>
      </c>
      <c r="K13" s="997">
        <v>165</v>
      </c>
      <c r="L13" s="1353"/>
      <c r="M13" s="1353"/>
      <c r="N13" s="1315" t="s">
        <v>1605</v>
      </c>
      <c r="O13" s="1315" t="s">
        <v>136</v>
      </c>
    </row>
    <row r="14" spans="1:18" s="954" customFormat="1" ht="13.5" thickBot="1">
      <c r="A14" s="1327" t="s">
        <v>58</v>
      </c>
      <c r="B14" s="1328"/>
      <c r="C14" s="373">
        <f>SUMPRODUCT(C12:C13, $F$12:$F$13)</f>
        <v>0</v>
      </c>
      <c r="D14" s="1354"/>
      <c r="E14" s="1329"/>
      <c r="F14" s="1330">
        <f>SUM(F13:F13)</f>
        <v>2620</v>
      </c>
      <c r="G14" s="1330"/>
      <c r="H14" s="1046">
        <f>SUMPRODUCT(H13:H13, $F$13:$F$13)</f>
        <v>510900</v>
      </c>
      <c r="I14" s="1046">
        <f>SUMPRODUCT(I13:I13, $F$13:$F$13)</f>
        <v>461120</v>
      </c>
      <c r="J14" s="1046">
        <f>SUMPRODUCT(J12:J13, $F$12:$F$13)</f>
        <v>432300</v>
      </c>
      <c r="K14" s="1046">
        <f>SUMPRODUCT(K12:K13, $F$12:$F$13)</f>
        <v>432300</v>
      </c>
      <c r="L14" s="1046">
        <f>SUMPRODUCT(L12:L13, $F$12:$F$13)</f>
        <v>0</v>
      </c>
      <c r="M14" s="1046">
        <f>SUMPRODUCT(M12:M13, $F$12:$F$13)</f>
        <v>0</v>
      </c>
      <c r="Q14" s="1046">
        <f>SUMPRODUCT(Q12:Q13, $F$12:$F$13)</f>
        <v>0</v>
      </c>
      <c r="R14" s="1047"/>
    </row>
    <row r="15" spans="1:18">
      <c r="A15" s="1704" t="s">
        <v>59</v>
      </c>
      <c r="B15" s="1705"/>
      <c r="C15" s="1048"/>
      <c r="D15" s="1049"/>
      <c r="E15" s="1048"/>
      <c r="F15" s="376"/>
      <c r="G15" s="1359"/>
      <c r="H15" s="379"/>
      <c r="I15" s="377">
        <v>0</v>
      </c>
      <c r="J15" s="379">
        <v>0</v>
      </c>
      <c r="K15" s="377">
        <v>0</v>
      </c>
      <c r="L15" s="379">
        <v>0</v>
      </c>
      <c r="M15" s="377">
        <v>0</v>
      </c>
    </row>
    <row r="16" spans="1:18">
      <c r="A16" s="1127" t="s">
        <v>60</v>
      </c>
      <c r="B16" s="1128"/>
      <c r="C16" s="1048"/>
      <c r="D16" s="1049"/>
      <c r="E16" s="1048"/>
      <c r="F16" s="376"/>
      <c r="G16" s="1359"/>
      <c r="H16" s="382"/>
      <c r="I16" s="380" t="s">
        <v>61</v>
      </c>
      <c r="J16" s="382"/>
      <c r="K16" s="380" t="s">
        <v>61</v>
      </c>
      <c r="L16" s="382"/>
      <c r="M16" s="380" t="s">
        <v>61</v>
      </c>
      <c r="N16" s="1050"/>
      <c r="Q16" s="1050"/>
    </row>
    <row r="17" spans="1:17">
      <c r="A17" s="1706" t="s">
        <v>62</v>
      </c>
      <c r="B17" s="1707"/>
      <c r="C17" s="1048"/>
      <c r="D17" s="1049"/>
      <c r="E17" s="1048"/>
      <c r="F17" s="376"/>
      <c r="G17" s="1359"/>
      <c r="H17" s="382"/>
      <c r="I17" s="380"/>
      <c r="J17" s="382"/>
      <c r="K17" s="380"/>
      <c r="L17" s="382"/>
      <c r="M17" s="380"/>
      <c r="Q17" s="1050">
        <f>H14-Q14</f>
        <v>510900</v>
      </c>
    </row>
    <row r="18" spans="1:17" ht="12.95" customHeight="1">
      <c r="A18" s="1053" t="s">
        <v>63</v>
      </c>
      <c r="B18" s="1054"/>
      <c r="C18" s="1054"/>
      <c r="D18" s="1055"/>
      <c r="E18" s="1054"/>
      <c r="F18" s="1056"/>
      <c r="G18" s="1360"/>
      <c r="H18" s="1057"/>
      <c r="I18" s="1057"/>
      <c r="J18" s="1057"/>
      <c r="K18" s="1057"/>
      <c r="L18" s="1057"/>
      <c r="M18" s="1057"/>
    </row>
    <row r="19" spans="1:17" ht="12.95" customHeight="1">
      <c r="A19" s="1053"/>
      <c r="B19" s="1054" t="s">
        <v>64</v>
      </c>
      <c r="C19" s="1058"/>
      <c r="D19" s="1055"/>
      <c r="E19" s="1058"/>
      <c r="F19" s="1059"/>
      <c r="G19" s="1361"/>
      <c r="H19" s="386">
        <f>(H14+H15+H16+H17)*H18</f>
        <v>0</v>
      </c>
      <c r="I19" s="384">
        <f>(I14+I15+I17)*I18</f>
        <v>0</v>
      </c>
      <c r="J19" s="386">
        <f>(J14+J15+J16+J17)*J18</f>
        <v>0</v>
      </c>
      <c r="K19" s="384">
        <f>(K14+K15+K17)*K18</f>
        <v>0</v>
      </c>
      <c r="L19" s="386">
        <f>(L14+L15+L16+L17)*L18</f>
        <v>0</v>
      </c>
      <c r="M19" s="384">
        <f>(M14+M15+M17)*M18</f>
        <v>0</v>
      </c>
    </row>
    <row r="20" spans="1:17" ht="12" customHeight="1">
      <c r="A20" s="1706">
        <v>12</v>
      </c>
      <c r="B20" s="1707"/>
      <c r="C20" s="1058"/>
      <c r="D20" s="1055"/>
      <c r="E20" s="1060"/>
      <c r="F20" s="1061"/>
      <c r="G20" s="1362"/>
      <c r="H20" s="387">
        <v>0.125</v>
      </c>
      <c r="I20" s="387">
        <v>0.125</v>
      </c>
      <c r="J20" s="387">
        <v>0.125</v>
      </c>
      <c r="K20" s="387">
        <v>0.125</v>
      </c>
      <c r="L20" s="387">
        <v>0.125</v>
      </c>
      <c r="M20" s="387">
        <v>0.125</v>
      </c>
    </row>
    <row r="21" spans="1:17" ht="12.95" customHeight="1">
      <c r="A21" s="1127"/>
      <c r="B21" s="1128" t="s">
        <v>66</v>
      </c>
      <c r="C21" s="1058"/>
      <c r="D21" s="1055"/>
      <c r="E21" s="1060"/>
      <c r="F21" s="1061"/>
      <c r="G21" s="1362"/>
      <c r="H21" s="386">
        <f>(H19+H15+H16+H17+H14)*H20</f>
        <v>63862.5</v>
      </c>
      <c r="I21" s="384">
        <f>(I19+I15+I17+I14)*I20</f>
        <v>57640</v>
      </c>
      <c r="J21" s="386">
        <f>(J19+J15+J16+J17+J14)*J20</f>
        <v>54037.5</v>
      </c>
      <c r="K21" s="384">
        <f>(K19+K15+K17+K14)*K20</f>
        <v>54037.5</v>
      </c>
      <c r="L21" s="386">
        <f>(L19+L15+L16+L17+L14)*L20</f>
        <v>0</v>
      </c>
      <c r="M21" s="384">
        <f>(M19+M15+M17+M14)*M20</f>
        <v>0</v>
      </c>
    </row>
    <row r="22" spans="1:17" ht="12.95" customHeight="1">
      <c r="A22" s="1127" t="s">
        <v>67</v>
      </c>
      <c r="B22" s="1128"/>
      <c r="C22" s="1058"/>
      <c r="D22" s="1055"/>
      <c r="E22" s="1060"/>
      <c r="F22" s="1061"/>
      <c r="G22" s="1362"/>
      <c r="H22" s="387"/>
      <c r="I22" s="387"/>
      <c r="J22" s="387"/>
      <c r="K22" s="387"/>
      <c r="L22" s="387"/>
      <c r="M22" s="387"/>
    </row>
    <row r="23" spans="1:17" ht="12.95" customHeight="1">
      <c r="A23" s="1127"/>
      <c r="B23" s="1128" t="s">
        <v>68</v>
      </c>
      <c r="C23" s="1058"/>
      <c r="D23" s="1055"/>
      <c r="E23" s="1060"/>
      <c r="F23" s="1061"/>
      <c r="G23" s="1362"/>
      <c r="H23" s="386">
        <f>(H19+H15+H16+H17+H14)*H22</f>
        <v>0</v>
      </c>
      <c r="I23" s="384">
        <f>(I19+I15+I17+I14)*I22</f>
        <v>0</v>
      </c>
      <c r="J23" s="386"/>
      <c r="K23" s="384">
        <f>(K19+K15+K17+K14)*K22</f>
        <v>0</v>
      </c>
      <c r="L23" s="386"/>
      <c r="M23" s="384">
        <f>(M19+M15+M17+M14)*M22</f>
        <v>0</v>
      </c>
    </row>
    <row r="24" spans="1:17" ht="12.95" customHeight="1">
      <c r="A24" s="1706" t="s">
        <v>69</v>
      </c>
      <c r="B24" s="1707"/>
      <c r="C24" s="1058"/>
      <c r="D24" s="1055"/>
      <c r="E24" s="1062"/>
      <c r="F24" s="1061"/>
      <c r="G24" s="1362"/>
      <c r="H24" s="389"/>
      <c r="I24" s="387"/>
      <c r="J24" s="389"/>
      <c r="K24" s="387"/>
      <c r="L24" s="389"/>
      <c r="M24" s="387"/>
    </row>
    <row r="25" spans="1:17" ht="12.95" customHeight="1">
      <c r="A25" s="1129"/>
      <c r="B25" s="1130" t="s">
        <v>70</v>
      </c>
      <c r="C25" s="1065"/>
      <c r="D25" s="1066"/>
      <c r="E25" s="1067"/>
      <c r="F25" s="1068"/>
      <c r="G25" s="1363"/>
      <c r="H25" s="386">
        <f>H14*H24</f>
        <v>0</v>
      </c>
      <c r="I25" s="384">
        <f>I14*I24</f>
        <v>0</v>
      </c>
      <c r="J25" s="386"/>
      <c r="K25" s="384">
        <f>K14*K24</f>
        <v>0</v>
      </c>
      <c r="L25" s="386"/>
      <c r="M25" s="384">
        <f>M14*M24</f>
        <v>0</v>
      </c>
    </row>
    <row r="26" spans="1:17" ht="13.5" thickBot="1">
      <c r="A26" s="1708"/>
      <c r="B26" s="1709"/>
      <c r="C26" s="1065"/>
      <c r="D26" s="1066"/>
      <c r="E26" s="1065"/>
      <c r="F26" s="391"/>
      <c r="G26" s="1364"/>
      <c r="H26" s="394"/>
      <c r="I26" s="392"/>
      <c r="J26" s="394"/>
      <c r="K26" s="392"/>
      <c r="L26" s="394"/>
      <c r="M26" s="392"/>
    </row>
    <row r="27" spans="1:17" ht="13.5" thickBot="1">
      <c r="A27" s="1069" t="s">
        <v>71</v>
      </c>
      <c r="B27" s="1070"/>
      <c r="C27" s="1070"/>
      <c r="D27" s="1071"/>
      <c r="E27" s="1070"/>
      <c r="F27" s="1072"/>
      <c r="G27" s="1070"/>
      <c r="H27" s="1073">
        <f>SUM(H14,H15,H17,H19,H21)</f>
        <v>574762.5</v>
      </c>
      <c r="I27" s="1074">
        <f>SUM(I14:I26)</f>
        <v>518760.125</v>
      </c>
      <c r="J27" s="1073">
        <f>SUM(J14,J15,J17,J19,J21)</f>
        <v>486337.5</v>
      </c>
      <c r="K27" s="1074">
        <f>SUM(K14:K26)</f>
        <v>486337.625</v>
      </c>
      <c r="L27" s="1073">
        <f>SUM(L14,L15,L17,L19,L21)</f>
        <v>0</v>
      </c>
      <c r="M27" s="1074">
        <f>SUM(M14:M26)</f>
        <v>0.125</v>
      </c>
    </row>
    <row r="28" spans="1:17" s="1080" customFormat="1" ht="13.5" thickBot="1">
      <c r="A28" s="1075"/>
      <c r="B28" s="1076"/>
      <c r="C28" s="1076"/>
      <c r="D28" s="1077"/>
      <c r="E28" s="1076"/>
      <c r="F28" s="1076"/>
      <c r="G28" s="1076"/>
      <c r="H28" s="1078"/>
      <c r="I28" s="1079"/>
      <c r="J28" s="1331"/>
      <c r="K28" s="1079"/>
      <c r="L28" s="1331"/>
      <c r="M28" s="1079"/>
    </row>
    <row r="29" spans="1:17" s="954" customFormat="1" ht="13.5" thickBot="1">
      <c r="A29" s="1069" t="s">
        <v>72</v>
      </c>
      <c r="B29" s="1070"/>
      <c r="C29" s="1070"/>
      <c r="D29" s="1071"/>
      <c r="E29" s="1070"/>
      <c r="F29" s="1072"/>
      <c r="G29" s="1072"/>
      <c r="H29" s="1074">
        <f t="shared" ref="H29:M29" si="0">H14+H23+H15</f>
        <v>510900</v>
      </c>
      <c r="I29" s="1074">
        <f t="shared" si="0"/>
        <v>461120</v>
      </c>
      <c r="J29" s="1074">
        <f t="shared" si="0"/>
        <v>432300</v>
      </c>
      <c r="K29" s="1074">
        <f t="shared" si="0"/>
        <v>432300</v>
      </c>
      <c r="L29" s="1074">
        <f t="shared" si="0"/>
        <v>0</v>
      </c>
      <c r="M29" s="1074">
        <f t="shared" si="0"/>
        <v>0</v>
      </c>
    </row>
    <row r="30" spans="1:17" ht="13.5" thickBot="1">
      <c r="A30" s="1082"/>
      <c r="B30" s="1083" t="s">
        <v>1305</v>
      </c>
      <c r="C30" s="1084"/>
      <c r="D30" s="1083"/>
      <c r="E30" s="1084"/>
      <c r="F30" s="397"/>
      <c r="G30" s="1365"/>
      <c r="H30" s="1022"/>
      <c r="I30" s="1085"/>
      <c r="J30" s="1085"/>
      <c r="K30" s="1085"/>
      <c r="L30" s="1085"/>
      <c r="M30" s="1085"/>
    </row>
    <row r="31" spans="1:17">
      <c r="A31" s="1086" t="s">
        <v>73</v>
      </c>
      <c r="B31" s="1087" t="s">
        <v>74</v>
      </c>
      <c r="C31" s="1088"/>
      <c r="D31" s="1089"/>
      <c r="E31" s="1088"/>
      <c r="F31" s="399"/>
      <c r="G31" s="1366"/>
      <c r="H31" s="1090" t="s">
        <v>1593</v>
      </c>
      <c r="I31" s="1090" t="s">
        <v>1594</v>
      </c>
      <c r="J31" s="1090" t="s">
        <v>1595</v>
      </c>
      <c r="K31" s="1090" t="s">
        <v>1596</v>
      </c>
      <c r="L31" s="1090" t="s">
        <v>1597</v>
      </c>
      <c r="M31" s="1090" t="s">
        <v>1598</v>
      </c>
    </row>
    <row r="32" spans="1:17" ht="13.5" thickBot="1">
      <c r="A32" s="1091" t="s">
        <v>79</v>
      </c>
      <c r="B32" s="1092" t="s">
        <v>80</v>
      </c>
      <c r="C32" s="1093"/>
      <c r="D32" s="1094"/>
      <c r="E32" s="1093"/>
      <c r="F32" s="401"/>
      <c r="G32" s="401"/>
      <c r="H32" s="1096" t="s">
        <v>82</v>
      </c>
      <c r="I32" s="1095" t="s">
        <v>82</v>
      </c>
      <c r="J32" s="1095"/>
      <c r="K32" s="1095" t="s">
        <v>393</v>
      </c>
      <c r="L32" s="1095"/>
      <c r="M32" s="1095" t="s">
        <v>393</v>
      </c>
    </row>
    <row r="33" spans="1:15" ht="63.75">
      <c r="A33" s="1097" t="s">
        <v>85</v>
      </c>
      <c r="B33" s="1098" t="s">
        <v>86</v>
      </c>
      <c r="C33" s="1099"/>
      <c r="D33" s="1098"/>
      <c r="E33" s="1099"/>
      <c r="F33" s="402"/>
      <c r="G33" s="402"/>
      <c r="H33" s="1100" t="s">
        <v>1307</v>
      </c>
      <c r="I33" s="1100" t="s">
        <v>1307</v>
      </c>
      <c r="J33" s="1100" t="s">
        <v>1599</v>
      </c>
      <c r="K33" s="1100" t="s">
        <v>1599</v>
      </c>
      <c r="L33" s="1100" t="s">
        <v>167</v>
      </c>
      <c r="M33" s="1100" t="s">
        <v>394</v>
      </c>
    </row>
    <row r="34" spans="1:15">
      <c r="A34" s="1101" t="s">
        <v>90</v>
      </c>
      <c r="B34" s="1099" t="s">
        <v>91</v>
      </c>
      <c r="C34" s="1099"/>
      <c r="D34" s="1098"/>
      <c r="E34" s="1099"/>
      <c r="F34" s="402"/>
      <c r="G34" s="402"/>
      <c r="H34" s="1332" t="s">
        <v>332</v>
      </c>
      <c r="I34" s="1333" t="s">
        <v>332</v>
      </c>
      <c r="J34" s="1333" t="s">
        <v>332</v>
      </c>
      <c r="K34" s="1333" t="s">
        <v>332</v>
      </c>
      <c r="L34" s="1333" t="s">
        <v>332</v>
      </c>
      <c r="M34" s="1333" t="s">
        <v>332</v>
      </c>
    </row>
    <row r="35" spans="1:15" ht="39.950000000000003" customHeight="1">
      <c r="A35" s="1101" t="s">
        <v>93</v>
      </c>
      <c r="B35" s="1098" t="s">
        <v>94</v>
      </c>
      <c r="C35" s="1099"/>
      <c r="D35" s="1098"/>
      <c r="E35" s="1099"/>
      <c r="F35" s="402"/>
      <c r="G35" s="402"/>
      <c r="H35" s="1332" t="s">
        <v>332</v>
      </c>
      <c r="I35" s="1333" t="s">
        <v>332</v>
      </c>
      <c r="J35" s="1333" t="s">
        <v>332</v>
      </c>
      <c r="K35" s="1333" t="s">
        <v>332</v>
      </c>
      <c r="L35" s="1333" t="s">
        <v>332</v>
      </c>
      <c r="M35" s="1333" t="s">
        <v>332</v>
      </c>
    </row>
    <row r="36" spans="1:15" ht="140.25">
      <c r="A36" s="1101" t="s">
        <v>95</v>
      </c>
      <c r="B36" s="1098" t="s">
        <v>96</v>
      </c>
      <c r="C36" s="1099"/>
      <c r="D36" s="1098"/>
      <c r="E36" s="1099"/>
      <c r="F36" s="402"/>
      <c r="G36" s="402"/>
      <c r="H36" s="1100" t="s">
        <v>97</v>
      </c>
      <c r="I36" s="1100" t="s">
        <v>98</v>
      </c>
      <c r="J36" s="1100" t="s">
        <v>98</v>
      </c>
      <c r="K36" s="1100" t="s">
        <v>98</v>
      </c>
      <c r="L36" s="1100" t="s">
        <v>98</v>
      </c>
      <c r="M36" s="1100" t="s">
        <v>98</v>
      </c>
    </row>
    <row r="37" spans="1:15" ht="64.5" thickBot="1">
      <c r="A37" s="1104" t="s">
        <v>99</v>
      </c>
      <c r="B37" s="1105" t="s">
        <v>100</v>
      </c>
      <c r="C37" s="1106"/>
      <c r="D37" s="1105"/>
      <c r="E37" s="1106"/>
      <c r="F37" s="403"/>
      <c r="G37" s="402"/>
      <c r="H37" s="1096" t="s">
        <v>101</v>
      </c>
      <c r="I37" s="1334" t="s">
        <v>101</v>
      </c>
      <c r="J37" s="1334" t="s">
        <v>101</v>
      </c>
      <c r="K37" s="1334"/>
      <c r="L37" s="1334" t="s">
        <v>101</v>
      </c>
      <c r="M37" s="1334"/>
    </row>
    <row r="38" spans="1:15" ht="30" customHeight="1">
      <c r="A38" s="1710" t="s">
        <v>102</v>
      </c>
      <c r="B38" s="1711"/>
      <c r="C38" s="1712"/>
      <c r="D38" s="1107"/>
      <c r="E38" s="1695" t="s">
        <v>103</v>
      </c>
      <c r="F38" s="1696"/>
      <c r="G38" s="1696"/>
      <c r="H38" s="1697"/>
      <c r="I38" s="1698" t="s">
        <v>104</v>
      </c>
      <c r="J38" s="1699"/>
      <c r="K38" s="1699"/>
      <c r="L38" s="1699"/>
      <c r="M38" s="1700"/>
    </row>
    <row r="39" spans="1:15" ht="13.5" thickBot="1">
      <c r="A39" s="1710"/>
      <c r="B39" s="1711"/>
      <c r="C39" s="1712"/>
      <c r="D39" s="1107"/>
      <c r="E39" s="1695"/>
      <c r="F39" s="1696"/>
      <c r="G39" s="1696"/>
      <c r="H39" s="1697"/>
      <c r="I39" s="1701"/>
      <c r="J39" s="1702"/>
      <c r="K39" s="1702"/>
      <c r="L39" s="1702"/>
      <c r="M39" s="1703"/>
    </row>
    <row r="40" spans="1:15">
      <c r="A40" s="1108"/>
      <c r="B40" s="1109"/>
      <c r="C40" s="1110"/>
      <c r="D40" s="1109"/>
      <c r="E40" s="1110"/>
      <c r="F40" s="406"/>
      <c r="G40" s="406"/>
      <c r="H40" s="1110"/>
      <c r="I40" s="1110"/>
      <c r="J40" s="1110"/>
      <c r="K40" s="1110"/>
      <c r="L40" s="1110"/>
      <c r="M40" s="1110"/>
    </row>
    <row r="41" spans="1:15">
      <c r="A41" s="1112"/>
      <c r="B41" s="1113"/>
      <c r="C41" s="1111"/>
      <c r="D41" s="1113"/>
      <c r="E41" s="1111"/>
      <c r="F41" s="407"/>
      <c r="G41" s="407"/>
      <c r="H41" s="1111"/>
      <c r="I41" s="1111"/>
      <c r="J41" s="1111"/>
      <c r="K41" s="1111"/>
      <c r="L41" s="1111"/>
      <c r="M41" s="1111"/>
    </row>
    <row r="42" spans="1:15">
      <c r="A42" s="1112"/>
      <c r="B42" s="972" t="s">
        <v>105</v>
      </c>
      <c r="C42" s="974"/>
      <c r="D42" s="972"/>
      <c r="E42" s="974"/>
      <c r="F42" s="974" t="s">
        <v>106</v>
      </c>
      <c r="G42" s="974"/>
      <c r="H42" s="974"/>
      <c r="I42" s="974"/>
      <c r="J42" s="974"/>
      <c r="K42" s="974"/>
      <c r="L42" s="974"/>
      <c r="M42" s="974"/>
    </row>
    <row r="43" spans="1:15" ht="13.5" thickBot="1">
      <c r="A43" s="1114"/>
      <c r="B43" s="1115"/>
      <c r="C43" s="1116"/>
      <c r="D43" s="1115"/>
      <c r="E43" s="1116"/>
      <c r="F43" s="1116"/>
      <c r="G43" s="1116"/>
      <c r="H43" s="1116"/>
      <c r="I43" s="1116"/>
      <c r="J43" s="1116"/>
      <c r="K43" s="1116"/>
      <c r="L43" s="1116"/>
      <c r="M43" s="1116"/>
    </row>
    <row r="46" spans="1:15">
      <c r="A46" s="1314">
        <v>15</v>
      </c>
      <c r="B46" s="1335" t="s">
        <v>1600</v>
      </c>
      <c r="C46" s="981"/>
      <c r="E46" s="1335" t="s">
        <v>192</v>
      </c>
      <c r="F46" s="1336">
        <v>20</v>
      </c>
      <c r="G46" s="1336"/>
      <c r="H46" s="1324">
        <v>44</v>
      </c>
      <c r="I46" s="1324">
        <v>44</v>
      </c>
      <c r="J46" s="1325">
        <v>50</v>
      </c>
      <c r="K46" s="997">
        <f>J46</f>
        <v>50</v>
      </c>
      <c r="L46" s="1337">
        <v>44</v>
      </c>
      <c r="M46" s="997"/>
      <c r="N46" s="1338">
        <v>1100015598</v>
      </c>
      <c r="O46" s="1339">
        <v>10</v>
      </c>
    </row>
    <row r="47" spans="1:15">
      <c r="A47" s="1314">
        <v>16</v>
      </c>
      <c r="B47" s="1335" t="s">
        <v>1601</v>
      </c>
      <c r="C47" s="981"/>
      <c r="E47" s="1335" t="s">
        <v>192</v>
      </c>
      <c r="F47" s="1336">
        <v>20</v>
      </c>
      <c r="G47" s="1336"/>
      <c r="H47" s="1324">
        <v>59</v>
      </c>
      <c r="I47" s="1324">
        <v>59</v>
      </c>
      <c r="J47" s="1325">
        <v>54</v>
      </c>
      <c r="K47" s="997">
        <f>J47</f>
        <v>54</v>
      </c>
      <c r="L47" s="1337">
        <v>59</v>
      </c>
      <c r="M47" s="997"/>
      <c r="N47" s="1338">
        <v>1100015598</v>
      </c>
      <c r="O47" s="1339">
        <v>20</v>
      </c>
    </row>
    <row r="48" spans="1:15" ht="17.25" thickBot="1">
      <c r="A48" s="1314">
        <v>11</v>
      </c>
      <c r="B48" s="1335" t="s">
        <v>1602</v>
      </c>
      <c r="C48" s="981"/>
      <c r="E48" s="1335" t="s">
        <v>192</v>
      </c>
      <c r="F48" s="1336">
        <v>1</v>
      </c>
      <c r="G48" s="1336"/>
      <c r="H48" s="1324">
        <v>3500</v>
      </c>
      <c r="I48" s="1324">
        <v>3500</v>
      </c>
      <c r="J48" s="1325">
        <v>3000</v>
      </c>
      <c r="K48" s="997">
        <f>J48</f>
        <v>3000</v>
      </c>
      <c r="L48" s="1340">
        <v>4500</v>
      </c>
      <c r="M48" s="997"/>
      <c r="N48" s="1338">
        <v>1100014796</v>
      </c>
      <c r="O48" s="1339">
        <v>30</v>
      </c>
    </row>
    <row r="49" spans="2:3">
      <c r="B49" s="1341" t="s">
        <v>373</v>
      </c>
      <c r="C49" s="1342"/>
    </row>
    <row r="50" spans="2:3">
      <c r="B50" s="1343" t="s">
        <v>375</v>
      </c>
      <c r="C50" s="1344">
        <f>248/(1.106+0.27+0.26)</f>
        <v>151.58924205378972</v>
      </c>
    </row>
    <row r="51" spans="2:3">
      <c r="B51" s="1343" t="s">
        <v>377</v>
      </c>
      <c r="C51" s="1344">
        <f>181/(0.786+0.18+0.18)</f>
        <v>157.94066317626528</v>
      </c>
    </row>
    <row r="52" spans="2:3">
      <c r="B52" s="1345" t="s">
        <v>397</v>
      </c>
      <c r="C52" s="1346" t="e">
        <f>SUM(#REF!)*154.75</f>
        <v>#REF!</v>
      </c>
    </row>
    <row r="53" spans="2:3">
      <c r="B53" s="1345" t="s">
        <v>398</v>
      </c>
      <c r="C53" s="1347" t="e">
        <f>#REF!</f>
        <v>#REF!</v>
      </c>
    </row>
    <row r="54" spans="2:3" ht="26.25" thickBot="1">
      <c r="B54" s="1348" t="s">
        <v>399</v>
      </c>
      <c r="C54" s="1349" t="e">
        <f>C52-C53</f>
        <v>#REF!</v>
      </c>
    </row>
    <row r="56" spans="2:3" ht="13.5" thickBot="1"/>
    <row r="57" spans="2:3">
      <c r="B57" s="1350" t="s">
        <v>373</v>
      </c>
      <c r="C57" s="1342"/>
    </row>
    <row r="58" spans="2:3">
      <c r="B58" s="1351" t="s">
        <v>375</v>
      </c>
      <c r="C58" s="1344">
        <f>248/(1.106+0.27+0.26)</f>
        <v>151.58924205378972</v>
      </c>
    </row>
    <row r="59" spans="2:3">
      <c r="B59" s="1351" t="s">
        <v>377</v>
      </c>
      <c r="C59" s="1344">
        <f>181/(0.786+0.18+0.18)</f>
        <v>157.94066317626528</v>
      </c>
    </row>
  </sheetData>
  <mergeCells count="31">
    <mergeCell ref="A2:M2"/>
    <mergeCell ref="A3:M3"/>
    <mergeCell ref="F4:F5"/>
    <mergeCell ref="A7:A12"/>
    <mergeCell ref="B7:B12"/>
    <mergeCell ref="C7:C12"/>
    <mergeCell ref="E7:E12"/>
    <mergeCell ref="F7:F12"/>
    <mergeCell ref="H7:I7"/>
    <mergeCell ref="J7:K7"/>
    <mergeCell ref="L7:M7"/>
    <mergeCell ref="J8:K8"/>
    <mergeCell ref="L8:M8"/>
    <mergeCell ref="H9:I9"/>
    <mergeCell ref="J9:K9"/>
    <mergeCell ref="L9:M9"/>
    <mergeCell ref="H10:I10"/>
    <mergeCell ref="J10:K10"/>
    <mergeCell ref="L10:M10"/>
    <mergeCell ref="P10:Q10"/>
    <mergeCell ref="H11:I11"/>
    <mergeCell ref="J11:K11"/>
    <mergeCell ref="L11:M11"/>
    <mergeCell ref="E38:H39"/>
    <mergeCell ref="I38:M39"/>
    <mergeCell ref="A15:B15"/>
    <mergeCell ref="A17:B17"/>
    <mergeCell ref="A20:B20"/>
    <mergeCell ref="A24:B24"/>
    <mergeCell ref="A26:B26"/>
    <mergeCell ref="A38:C39"/>
  </mergeCells>
  <pageMargins left="0.25" right="0.25" top="0.75" bottom="0.75" header="0.3" footer="0.3"/>
  <pageSetup scale="50" orientation="landscape"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1"/>
  <sheetViews>
    <sheetView topLeftCell="B5" zoomScaleNormal="100" workbookViewId="0">
      <selection activeCell="C13" sqref="C13"/>
    </sheetView>
  </sheetViews>
  <sheetFormatPr defaultRowHeight="12.75"/>
  <cols>
    <col min="1" max="1" width="6.140625" style="956" customWidth="1"/>
    <col min="2" max="2" width="48.85546875" style="973" customWidth="1"/>
    <col min="3" max="3" width="27.5703125" style="956" customWidth="1"/>
    <col min="4" max="4" width="12.28515625" style="973" customWidth="1"/>
    <col min="5" max="5" width="6.140625" style="956" customWidth="1"/>
    <col min="6" max="7" width="12.85546875" style="956" customWidth="1"/>
    <col min="8" max="8" width="17.5703125" style="956" customWidth="1"/>
    <col min="9" max="9" width="13.5703125" style="956" customWidth="1"/>
    <col min="10" max="10" width="14.85546875" style="956" customWidth="1"/>
    <col min="11" max="11" width="13.7109375" style="956" customWidth="1"/>
    <col min="12" max="12" width="17.5703125" style="956" customWidth="1"/>
    <col min="13" max="13" width="18.42578125" style="956" customWidth="1"/>
    <col min="14" max="14" width="12.42578125" style="956" bestFit="1" customWidth="1"/>
    <col min="15" max="15" width="11.140625" style="956" bestFit="1" customWidth="1"/>
    <col min="16" max="16" width="11.85546875" style="956" bestFit="1" customWidth="1"/>
    <col min="17" max="17" width="11.5703125" style="956" bestFit="1" customWidth="1"/>
    <col min="18" max="251" width="9.140625" style="956"/>
    <col min="252" max="252" width="4" style="956" customWidth="1"/>
    <col min="253" max="253" width="30.7109375" style="956" customWidth="1"/>
    <col min="254" max="255" width="10" style="956" customWidth="1"/>
    <col min="256" max="256" width="9.85546875" style="956" customWidth="1"/>
    <col min="257" max="257" width="12.42578125" style="956" customWidth="1"/>
    <col min="258" max="263" width="12.7109375" style="956" customWidth="1"/>
    <col min="264" max="264" width="13" style="956" customWidth="1"/>
    <col min="265" max="266" width="12.7109375" style="956" customWidth="1"/>
    <col min="267" max="267" width="9.140625" style="956"/>
    <col min="268" max="268" width="11.140625" style="956" bestFit="1" customWidth="1"/>
    <col min="269" max="507" width="9.140625" style="956"/>
    <col min="508" max="508" width="4" style="956" customWidth="1"/>
    <col min="509" max="509" width="30.7109375" style="956" customWidth="1"/>
    <col min="510" max="511" width="10" style="956" customWidth="1"/>
    <col min="512" max="512" width="9.85546875" style="956" customWidth="1"/>
    <col min="513" max="513" width="12.42578125" style="956" customWidth="1"/>
    <col min="514" max="519" width="12.7109375" style="956" customWidth="1"/>
    <col min="520" max="520" width="13" style="956" customWidth="1"/>
    <col min="521" max="522" width="12.7109375" style="956" customWidth="1"/>
    <col min="523" max="523" width="9.140625" style="956"/>
    <col min="524" max="524" width="11.140625" style="956" bestFit="1" customWidth="1"/>
    <col min="525" max="763" width="9.140625" style="956"/>
    <col min="764" max="764" width="4" style="956" customWidth="1"/>
    <col min="765" max="765" width="30.7109375" style="956" customWidth="1"/>
    <col min="766" max="767" width="10" style="956" customWidth="1"/>
    <col min="768" max="768" width="9.85546875" style="956" customWidth="1"/>
    <col min="769" max="769" width="12.42578125" style="956" customWidth="1"/>
    <col min="770" max="775" width="12.7109375" style="956" customWidth="1"/>
    <col min="776" max="776" width="13" style="956" customWidth="1"/>
    <col min="777" max="778" width="12.7109375" style="956" customWidth="1"/>
    <col min="779" max="779" width="9.140625" style="956"/>
    <col min="780" max="780" width="11.140625" style="956" bestFit="1" customWidth="1"/>
    <col min="781" max="1019" width="9.140625" style="956"/>
    <col min="1020" max="1020" width="4" style="956" customWidth="1"/>
    <col min="1021" max="1021" width="30.7109375" style="956" customWidth="1"/>
    <col min="1022" max="1023" width="10" style="956" customWidth="1"/>
    <col min="1024" max="1024" width="9.85546875" style="956" customWidth="1"/>
    <col min="1025" max="1025" width="12.42578125" style="956" customWidth="1"/>
    <col min="1026" max="1031" width="12.7109375" style="956" customWidth="1"/>
    <col min="1032" max="1032" width="13" style="956" customWidth="1"/>
    <col min="1033" max="1034" width="12.7109375" style="956" customWidth="1"/>
    <col min="1035" max="1035" width="9.140625" style="956"/>
    <col min="1036" max="1036" width="11.140625" style="956" bestFit="1" customWidth="1"/>
    <col min="1037" max="1275" width="9.140625" style="956"/>
    <col min="1276" max="1276" width="4" style="956" customWidth="1"/>
    <col min="1277" max="1277" width="30.7109375" style="956" customWidth="1"/>
    <col min="1278" max="1279" width="10" style="956" customWidth="1"/>
    <col min="1280" max="1280" width="9.85546875" style="956" customWidth="1"/>
    <col min="1281" max="1281" width="12.42578125" style="956" customWidth="1"/>
    <col min="1282" max="1287" width="12.7109375" style="956" customWidth="1"/>
    <col min="1288" max="1288" width="13" style="956" customWidth="1"/>
    <col min="1289" max="1290" width="12.7109375" style="956" customWidth="1"/>
    <col min="1291" max="1291" width="9.140625" style="956"/>
    <col min="1292" max="1292" width="11.140625" style="956" bestFit="1" customWidth="1"/>
    <col min="1293" max="1531" width="9.140625" style="956"/>
    <col min="1532" max="1532" width="4" style="956" customWidth="1"/>
    <col min="1533" max="1533" width="30.7109375" style="956" customWidth="1"/>
    <col min="1534" max="1535" width="10" style="956" customWidth="1"/>
    <col min="1536" max="1536" width="9.85546875" style="956" customWidth="1"/>
    <col min="1537" max="1537" width="12.42578125" style="956" customWidth="1"/>
    <col min="1538" max="1543" width="12.7109375" style="956" customWidth="1"/>
    <col min="1544" max="1544" width="13" style="956" customWidth="1"/>
    <col min="1545" max="1546" width="12.7109375" style="956" customWidth="1"/>
    <col min="1547" max="1547" width="9.140625" style="956"/>
    <col min="1548" max="1548" width="11.140625" style="956" bestFit="1" customWidth="1"/>
    <col min="1549" max="1787" width="9.140625" style="956"/>
    <col min="1788" max="1788" width="4" style="956" customWidth="1"/>
    <col min="1789" max="1789" width="30.7109375" style="956" customWidth="1"/>
    <col min="1790" max="1791" width="10" style="956" customWidth="1"/>
    <col min="1792" max="1792" width="9.85546875" style="956" customWidth="1"/>
    <col min="1793" max="1793" width="12.42578125" style="956" customWidth="1"/>
    <col min="1794" max="1799" width="12.7109375" style="956" customWidth="1"/>
    <col min="1800" max="1800" width="13" style="956" customWidth="1"/>
    <col min="1801" max="1802" width="12.7109375" style="956" customWidth="1"/>
    <col min="1803" max="1803" width="9.140625" style="956"/>
    <col min="1804" max="1804" width="11.140625" style="956" bestFit="1" customWidth="1"/>
    <col min="1805" max="2043" width="9.140625" style="956"/>
    <col min="2044" max="2044" width="4" style="956" customWidth="1"/>
    <col min="2045" max="2045" width="30.7109375" style="956" customWidth="1"/>
    <col min="2046" max="2047" width="10" style="956" customWidth="1"/>
    <col min="2048" max="2048" width="9.85546875" style="956" customWidth="1"/>
    <col min="2049" max="2049" width="12.42578125" style="956" customWidth="1"/>
    <col min="2050" max="2055" width="12.7109375" style="956" customWidth="1"/>
    <col min="2056" max="2056" width="13" style="956" customWidth="1"/>
    <col min="2057" max="2058" width="12.7109375" style="956" customWidth="1"/>
    <col min="2059" max="2059" width="9.140625" style="956"/>
    <col min="2060" max="2060" width="11.140625" style="956" bestFit="1" customWidth="1"/>
    <col min="2061" max="2299" width="9.140625" style="956"/>
    <col min="2300" max="2300" width="4" style="956" customWidth="1"/>
    <col min="2301" max="2301" width="30.7109375" style="956" customWidth="1"/>
    <col min="2302" max="2303" width="10" style="956" customWidth="1"/>
    <col min="2304" max="2304" width="9.85546875" style="956" customWidth="1"/>
    <col min="2305" max="2305" width="12.42578125" style="956" customWidth="1"/>
    <col min="2306" max="2311" width="12.7109375" style="956" customWidth="1"/>
    <col min="2312" max="2312" width="13" style="956" customWidth="1"/>
    <col min="2313" max="2314" width="12.7109375" style="956" customWidth="1"/>
    <col min="2315" max="2315" width="9.140625" style="956"/>
    <col min="2316" max="2316" width="11.140625" style="956" bestFit="1" customWidth="1"/>
    <col min="2317" max="2555" width="9.140625" style="956"/>
    <col min="2556" max="2556" width="4" style="956" customWidth="1"/>
    <col min="2557" max="2557" width="30.7109375" style="956" customWidth="1"/>
    <col min="2558" max="2559" width="10" style="956" customWidth="1"/>
    <col min="2560" max="2560" width="9.85546875" style="956" customWidth="1"/>
    <col min="2561" max="2561" width="12.42578125" style="956" customWidth="1"/>
    <col min="2562" max="2567" width="12.7109375" style="956" customWidth="1"/>
    <col min="2568" max="2568" width="13" style="956" customWidth="1"/>
    <col min="2569" max="2570" width="12.7109375" style="956" customWidth="1"/>
    <col min="2571" max="2571" width="9.140625" style="956"/>
    <col min="2572" max="2572" width="11.140625" style="956" bestFit="1" customWidth="1"/>
    <col min="2573" max="2811" width="9.140625" style="956"/>
    <col min="2812" max="2812" width="4" style="956" customWidth="1"/>
    <col min="2813" max="2813" width="30.7109375" style="956" customWidth="1"/>
    <col min="2814" max="2815" width="10" style="956" customWidth="1"/>
    <col min="2816" max="2816" width="9.85546875" style="956" customWidth="1"/>
    <col min="2817" max="2817" width="12.42578125" style="956" customWidth="1"/>
    <col min="2818" max="2823" width="12.7109375" style="956" customWidth="1"/>
    <col min="2824" max="2824" width="13" style="956" customWidth="1"/>
    <col min="2825" max="2826" width="12.7109375" style="956" customWidth="1"/>
    <col min="2827" max="2827" width="9.140625" style="956"/>
    <col min="2828" max="2828" width="11.140625" style="956" bestFit="1" customWidth="1"/>
    <col min="2829" max="3067" width="9.140625" style="956"/>
    <col min="3068" max="3068" width="4" style="956" customWidth="1"/>
    <col min="3069" max="3069" width="30.7109375" style="956" customWidth="1"/>
    <col min="3070" max="3071" width="10" style="956" customWidth="1"/>
    <col min="3072" max="3072" width="9.85546875" style="956" customWidth="1"/>
    <col min="3073" max="3073" width="12.42578125" style="956" customWidth="1"/>
    <col min="3074" max="3079" width="12.7109375" style="956" customWidth="1"/>
    <col min="3080" max="3080" width="13" style="956" customWidth="1"/>
    <col min="3081" max="3082" width="12.7109375" style="956" customWidth="1"/>
    <col min="3083" max="3083" width="9.140625" style="956"/>
    <col min="3084" max="3084" width="11.140625" style="956" bestFit="1" customWidth="1"/>
    <col min="3085" max="3323" width="9.140625" style="956"/>
    <col min="3324" max="3324" width="4" style="956" customWidth="1"/>
    <col min="3325" max="3325" width="30.7109375" style="956" customWidth="1"/>
    <col min="3326" max="3327" width="10" style="956" customWidth="1"/>
    <col min="3328" max="3328" width="9.85546875" style="956" customWidth="1"/>
    <col min="3329" max="3329" width="12.42578125" style="956" customWidth="1"/>
    <col min="3330" max="3335" width="12.7109375" style="956" customWidth="1"/>
    <col min="3336" max="3336" width="13" style="956" customWidth="1"/>
    <col min="3337" max="3338" width="12.7109375" style="956" customWidth="1"/>
    <col min="3339" max="3339" width="9.140625" style="956"/>
    <col min="3340" max="3340" width="11.140625" style="956" bestFit="1" customWidth="1"/>
    <col min="3341" max="3579" width="9.140625" style="956"/>
    <col min="3580" max="3580" width="4" style="956" customWidth="1"/>
    <col min="3581" max="3581" width="30.7109375" style="956" customWidth="1"/>
    <col min="3582" max="3583" width="10" style="956" customWidth="1"/>
    <col min="3584" max="3584" width="9.85546875" style="956" customWidth="1"/>
    <col min="3585" max="3585" width="12.42578125" style="956" customWidth="1"/>
    <col min="3586" max="3591" width="12.7109375" style="956" customWidth="1"/>
    <col min="3592" max="3592" width="13" style="956" customWidth="1"/>
    <col min="3593" max="3594" width="12.7109375" style="956" customWidth="1"/>
    <col min="3595" max="3595" width="9.140625" style="956"/>
    <col min="3596" max="3596" width="11.140625" style="956" bestFit="1" customWidth="1"/>
    <col min="3597" max="3835" width="9.140625" style="956"/>
    <col min="3836" max="3836" width="4" style="956" customWidth="1"/>
    <col min="3837" max="3837" width="30.7109375" style="956" customWidth="1"/>
    <col min="3838" max="3839" width="10" style="956" customWidth="1"/>
    <col min="3840" max="3840" width="9.85546875" style="956" customWidth="1"/>
    <col min="3841" max="3841" width="12.42578125" style="956" customWidth="1"/>
    <col min="3842" max="3847" width="12.7109375" style="956" customWidth="1"/>
    <col min="3848" max="3848" width="13" style="956" customWidth="1"/>
    <col min="3849" max="3850" width="12.7109375" style="956" customWidth="1"/>
    <col min="3851" max="3851" width="9.140625" style="956"/>
    <col min="3852" max="3852" width="11.140625" style="956" bestFit="1" customWidth="1"/>
    <col min="3853" max="4091" width="9.140625" style="956"/>
    <col min="4092" max="4092" width="4" style="956" customWidth="1"/>
    <col min="4093" max="4093" width="30.7109375" style="956" customWidth="1"/>
    <col min="4094" max="4095" width="10" style="956" customWidth="1"/>
    <col min="4096" max="4096" width="9.85546875" style="956" customWidth="1"/>
    <col min="4097" max="4097" width="12.42578125" style="956" customWidth="1"/>
    <col min="4098" max="4103" width="12.7109375" style="956" customWidth="1"/>
    <col min="4104" max="4104" width="13" style="956" customWidth="1"/>
    <col min="4105" max="4106" width="12.7109375" style="956" customWidth="1"/>
    <col min="4107" max="4107" width="9.140625" style="956"/>
    <col min="4108" max="4108" width="11.140625" style="956" bestFit="1" customWidth="1"/>
    <col min="4109" max="4347" width="9.140625" style="956"/>
    <col min="4348" max="4348" width="4" style="956" customWidth="1"/>
    <col min="4349" max="4349" width="30.7109375" style="956" customWidth="1"/>
    <col min="4350" max="4351" width="10" style="956" customWidth="1"/>
    <col min="4352" max="4352" width="9.85546875" style="956" customWidth="1"/>
    <col min="4353" max="4353" width="12.42578125" style="956" customWidth="1"/>
    <col min="4354" max="4359" width="12.7109375" style="956" customWidth="1"/>
    <col min="4360" max="4360" width="13" style="956" customWidth="1"/>
    <col min="4361" max="4362" width="12.7109375" style="956" customWidth="1"/>
    <col min="4363" max="4363" width="9.140625" style="956"/>
    <col min="4364" max="4364" width="11.140625" style="956" bestFit="1" customWidth="1"/>
    <col min="4365" max="4603" width="9.140625" style="956"/>
    <col min="4604" max="4604" width="4" style="956" customWidth="1"/>
    <col min="4605" max="4605" width="30.7109375" style="956" customWidth="1"/>
    <col min="4606" max="4607" width="10" style="956" customWidth="1"/>
    <col min="4608" max="4608" width="9.85546875" style="956" customWidth="1"/>
    <col min="4609" max="4609" width="12.42578125" style="956" customWidth="1"/>
    <col min="4610" max="4615" width="12.7109375" style="956" customWidth="1"/>
    <col min="4616" max="4616" width="13" style="956" customWidth="1"/>
    <col min="4617" max="4618" width="12.7109375" style="956" customWidth="1"/>
    <col min="4619" max="4619" width="9.140625" style="956"/>
    <col min="4620" max="4620" width="11.140625" style="956" bestFit="1" customWidth="1"/>
    <col min="4621" max="4859" width="9.140625" style="956"/>
    <col min="4860" max="4860" width="4" style="956" customWidth="1"/>
    <col min="4861" max="4861" width="30.7109375" style="956" customWidth="1"/>
    <col min="4862" max="4863" width="10" style="956" customWidth="1"/>
    <col min="4864" max="4864" width="9.85546875" style="956" customWidth="1"/>
    <col min="4865" max="4865" width="12.42578125" style="956" customWidth="1"/>
    <col min="4866" max="4871" width="12.7109375" style="956" customWidth="1"/>
    <col min="4872" max="4872" width="13" style="956" customWidth="1"/>
    <col min="4873" max="4874" width="12.7109375" style="956" customWidth="1"/>
    <col min="4875" max="4875" width="9.140625" style="956"/>
    <col min="4876" max="4876" width="11.140625" style="956" bestFit="1" customWidth="1"/>
    <col min="4877" max="5115" width="9.140625" style="956"/>
    <col min="5116" max="5116" width="4" style="956" customWidth="1"/>
    <col min="5117" max="5117" width="30.7109375" style="956" customWidth="1"/>
    <col min="5118" max="5119" width="10" style="956" customWidth="1"/>
    <col min="5120" max="5120" width="9.85546875" style="956" customWidth="1"/>
    <col min="5121" max="5121" width="12.42578125" style="956" customWidth="1"/>
    <col min="5122" max="5127" width="12.7109375" style="956" customWidth="1"/>
    <col min="5128" max="5128" width="13" style="956" customWidth="1"/>
    <col min="5129" max="5130" width="12.7109375" style="956" customWidth="1"/>
    <col min="5131" max="5131" width="9.140625" style="956"/>
    <col min="5132" max="5132" width="11.140625" style="956" bestFit="1" customWidth="1"/>
    <col min="5133" max="5371" width="9.140625" style="956"/>
    <col min="5372" max="5372" width="4" style="956" customWidth="1"/>
    <col min="5373" max="5373" width="30.7109375" style="956" customWidth="1"/>
    <col min="5374" max="5375" width="10" style="956" customWidth="1"/>
    <col min="5376" max="5376" width="9.85546875" style="956" customWidth="1"/>
    <col min="5377" max="5377" width="12.42578125" style="956" customWidth="1"/>
    <col min="5378" max="5383" width="12.7109375" style="956" customWidth="1"/>
    <col min="5384" max="5384" width="13" style="956" customWidth="1"/>
    <col min="5385" max="5386" width="12.7109375" style="956" customWidth="1"/>
    <col min="5387" max="5387" width="9.140625" style="956"/>
    <col min="5388" max="5388" width="11.140625" style="956" bestFit="1" customWidth="1"/>
    <col min="5389" max="5627" width="9.140625" style="956"/>
    <col min="5628" max="5628" width="4" style="956" customWidth="1"/>
    <col min="5629" max="5629" width="30.7109375" style="956" customWidth="1"/>
    <col min="5630" max="5631" width="10" style="956" customWidth="1"/>
    <col min="5632" max="5632" width="9.85546875" style="956" customWidth="1"/>
    <col min="5633" max="5633" width="12.42578125" style="956" customWidth="1"/>
    <col min="5634" max="5639" width="12.7109375" style="956" customWidth="1"/>
    <col min="5640" max="5640" width="13" style="956" customWidth="1"/>
    <col min="5641" max="5642" width="12.7109375" style="956" customWidth="1"/>
    <col min="5643" max="5643" width="9.140625" style="956"/>
    <col min="5644" max="5644" width="11.140625" style="956" bestFit="1" customWidth="1"/>
    <col min="5645" max="5883" width="9.140625" style="956"/>
    <col min="5884" max="5884" width="4" style="956" customWidth="1"/>
    <col min="5885" max="5885" width="30.7109375" style="956" customWidth="1"/>
    <col min="5886" max="5887" width="10" style="956" customWidth="1"/>
    <col min="5888" max="5888" width="9.85546875" style="956" customWidth="1"/>
    <col min="5889" max="5889" width="12.42578125" style="956" customWidth="1"/>
    <col min="5890" max="5895" width="12.7109375" style="956" customWidth="1"/>
    <col min="5896" max="5896" width="13" style="956" customWidth="1"/>
    <col min="5897" max="5898" width="12.7109375" style="956" customWidth="1"/>
    <col min="5899" max="5899" width="9.140625" style="956"/>
    <col min="5900" max="5900" width="11.140625" style="956" bestFit="1" customWidth="1"/>
    <col min="5901" max="6139" width="9.140625" style="956"/>
    <col min="6140" max="6140" width="4" style="956" customWidth="1"/>
    <col min="6141" max="6141" width="30.7109375" style="956" customWidth="1"/>
    <col min="6142" max="6143" width="10" style="956" customWidth="1"/>
    <col min="6144" max="6144" width="9.85546875" style="956" customWidth="1"/>
    <col min="6145" max="6145" width="12.42578125" style="956" customWidth="1"/>
    <col min="6146" max="6151" width="12.7109375" style="956" customWidth="1"/>
    <col min="6152" max="6152" width="13" style="956" customWidth="1"/>
    <col min="6153" max="6154" width="12.7109375" style="956" customWidth="1"/>
    <col min="6155" max="6155" width="9.140625" style="956"/>
    <col min="6156" max="6156" width="11.140625" style="956" bestFit="1" customWidth="1"/>
    <col min="6157" max="6395" width="9.140625" style="956"/>
    <col min="6396" max="6396" width="4" style="956" customWidth="1"/>
    <col min="6397" max="6397" width="30.7109375" style="956" customWidth="1"/>
    <col min="6398" max="6399" width="10" style="956" customWidth="1"/>
    <col min="6400" max="6400" width="9.85546875" style="956" customWidth="1"/>
    <col min="6401" max="6401" width="12.42578125" style="956" customWidth="1"/>
    <col min="6402" max="6407" width="12.7109375" style="956" customWidth="1"/>
    <col min="6408" max="6408" width="13" style="956" customWidth="1"/>
    <col min="6409" max="6410" width="12.7109375" style="956" customWidth="1"/>
    <col min="6411" max="6411" width="9.140625" style="956"/>
    <col min="6412" max="6412" width="11.140625" style="956" bestFit="1" customWidth="1"/>
    <col min="6413" max="6651" width="9.140625" style="956"/>
    <col min="6652" max="6652" width="4" style="956" customWidth="1"/>
    <col min="6653" max="6653" width="30.7109375" style="956" customWidth="1"/>
    <col min="6654" max="6655" width="10" style="956" customWidth="1"/>
    <col min="6656" max="6656" width="9.85546875" style="956" customWidth="1"/>
    <col min="6657" max="6657" width="12.42578125" style="956" customWidth="1"/>
    <col min="6658" max="6663" width="12.7109375" style="956" customWidth="1"/>
    <col min="6664" max="6664" width="13" style="956" customWidth="1"/>
    <col min="6665" max="6666" width="12.7109375" style="956" customWidth="1"/>
    <col min="6667" max="6667" width="9.140625" style="956"/>
    <col min="6668" max="6668" width="11.140625" style="956" bestFit="1" customWidth="1"/>
    <col min="6669" max="6907" width="9.140625" style="956"/>
    <col min="6908" max="6908" width="4" style="956" customWidth="1"/>
    <col min="6909" max="6909" width="30.7109375" style="956" customWidth="1"/>
    <col min="6910" max="6911" width="10" style="956" customWidth="1"/>
    <col min="6912" max="6912" width="9.85546875" style="956" customWidth="1"/>
    <col min="6913" max="6913" width="12.42578125" style="956" customWidth="1"/>
    <col min="6914" max="6919" width="12.7109375" style="956" customWidth="1"/>
    <col min="6920" max="6920" width="13" style="956" customWidth="1"/>
    <col min="6921" max="6922" width="12.7109375" style="956" customWidth="1"/>
    <col min="6923" max="6923" width="9.140625" style="956"/>
    <col min="6924" max="6924" width="11.140625" style="956" bestFit="1" customWidth="1"/>
    <col min="6925" max="7163" width="9.140625" style="956"/>
    <col min="7164" max="7164" width="4" style="956" customWidth="1"/>
    <col min="7165" max="7165" width="30.7109375" style="956" customWidth="1"/>
    <col min="7166" max="7167" width="10" style="956" customWidth="1"/>
    <col min="7168" max="7168" width="9.85546875" style="956" customWidth="1"/>
    <col min="7169" max="7169" width="12.42578125" style="956" customWidth="1"/>
    <col min="7170" max="7175" width="12.7109375" style="956" customWidth="1"/>
    <col min="7176" max="7176" width="13" style="956" customWidth="1"/>
    <col min="7177" max="7178" width="12.7109375" style="956" customWidth="1"/>
    <col min="7179" max="7179" width="9.140625" style="956"/>
    <col min="7180" max="7180" width="11.140625" style="956" bestFit="1" customWidth="1"/>
    <col min="7181" max="7419" width="9.140625" style="956"/>
    <col min="7420" max="7420" width="4" style="956" customWidth="1"/>
    <col min="7421" max="7421" width="30.7109375" style="956" customWidth="1"/>
    <col min="7422" max="7423" width="10" style="956" customWidth="1"/>
    <col min="7424" max="7424" width="9.85546875" style="956" customWidth="1"/>
    <col min="7425" max="7425" width="12.42578125" style="956" customWidth="1"/>
    <col min="7426" max="7431" width="12.7109375" style="956" customWidth="1"/>
    <col min="7432" max="7432" width="13" style="956" customWidth="1"/>
    <col min="7433" max="7434" width="12.7109375" style="956" customWidth="1"/>
    <col min="7435" max="7435" width="9.140625" style="956"/>
    <col min="7436" max="7436" width="11.140625" style="956" bestFit="1" customWidth="1"/>
    <col min="7437" max="7675" width="9.140625" style="956"/>
    <col min="7676" max="7676" width="4" style="956" customWidth="1"/>
    <col min="7677" max="7677" width="30.7109375" style="956" customWidth="1"/>
    <col min="7678" max="7679" width="10" style="956" customWidth="1"/>
    <col min="7680" max="7680" width="9.85546875" style="956" customWidth="1"/>
    <col min="7681" max="7681" width="12.42578125" style="956" customWidth="1"/>
    <col min="7682" max="7687" width="12.7109375" style="956" customWidth="1"/>
    <col min="7688" max="7688" width="13" style="956" customWidth="1"/>
    <col min="7689" max="7690" width="12.7109375" style="956" customWidth="1"/>
    <col min="7691" max="7691" width="9.140625" style="956"/>
    <col min="7692" max="7692" width="11.140625" style="956" bestFit="1" customWidth="1"/>
    <col min="7693" max="7931" width="9.140625" style="956"/>
    <col min="7932" max="7932" width="4" style="956" customWidth="1"/>
    <col min="7933" max="7933" width="30.7109375" style="956" customWidth="1"/>
    <col min="7934" max="7935" width="10" style="956" customWidth="1"/>
    <col min="7936" max="7936" width="9.85546875" style="956" customWidth="1"/>
    <col min="7937" max="7937" width="12.42578125" style="956" customWidth="1"/>
    <col min="7938" max="7943" width="12.7109375" style="956" customWidth="1"/>
    <col min="7944" max="7944" width="13" style="956" customWidth="1"/>
    <col min="7945" max="7946" width="12.7109375" style="956" customWidth="1"/>
    <col min="7947" max="7947" width="9.140625" style="956"/>
    <col min="7948" max="7948" width="11.140625" style="956" bestFit="1" customWidth="1"/>
    <col min="7949" max="8187" width="9.140625" style="956"/>
    <col min="8188" max="8188" width="4" style="956" customWidth="1"/>
    <col min="8189" max="8189" width="30.7109375" style="956" customWidth="1"/>
    <col min="8190" max="8191" width="10" style="956" customWidth="1"/>
    <col min="8192" max="8192" width="9.85546875" style="956" customWidth="1"/>
    <col min="8193" max="8193" width="12.42578125" style="956" customWidth="1"/>
    <col min="8194" max="8199" width="12.7109375" style="956" customWidth="1"/>
    <col min="8200" max="8200" width="13" style="956" customWidth="1"/>
    <col min="8201" max="8202" width="12.7109375" style="956" customWidth="1"/>
    <col min="8203" max="8203" width="9.140625" style="956"/>
    <col min="8204" max="8204" width="11.140625" style="956" bestFit="1" customWidth="1"/>
    <col min="8205" max="8443" width="9.140625" style="956"/>
    <col min="8444" max="8444" width="4" style="956" customWidth="1"/>
    <col min="8445" max="8445" width="30.7109375" style="956" customWidth="1"/>
    <col min="8446" max="8447" width="10" style="956" customWidth="1"/>
    <col min="8448" max="8448" width="9.85546875" style="956" customWidth="1"/>
    <col min="8449" max="8449" width="12.42578125" style="956" customWidth="1"/>
    <col min="8450" max="8455" width="12.7109375" style="956" customWidth="1"/>
    <col min="8456" max="8456" width="13" style="956" customWidth="1"/>
    <col min="8457" max="8458" width="12.7109375" style="956" customWidth="1"/>
    <col min="8459" max="8459" width="9.140625" style="956"/>
    <col min="8460" max="8460" width="11.140625" style="956" bestFit="1" customWidth="1"/>
    <col min="8461" max="8699" width="9.140625" style="956"/>
    <col min="8700" max="8700" width="4" style="956" customWidth="1"/>
    <col min="8701" max="8701" width="30.7109375" style="956" customWidth="1"/>
    <col min="8702" max="8703" width="10" style="956" customWidth="1"/>
    <col min="8704" max="8704" width="9.85546875" style="956" customWidth="1"/>
    <col min="8705" max="8705" width="12.42578125" style="956" customWidth="1"/>
    <col min="8706" max="8711" width="12.7109375" style="956" customWidth="1"/>
    <col min="8712" max="8712" width="13" style="956" customWidth="1"/>
    <col min="8713" max="8714" width="12.7109375" style="956" customWidth="1"/>
    <col min="8715" max="8715" width="9.140625" style="956"/>
    <col min="8716" max="8716" width="11.140625" style="956" bestFit="1" customWidth="1"/>
    <col min="8717" max="8955" width="9.140625" style="956"/>
    <col min="8956" max="8956" width="4" style="956" customWidth="1"/>
    <col min="8957" max="8957" width="30.7109375" style="956" customWidth="1"/>
    <col min="8958" max="8959" width="10" style="956" customWidth="1"/>
    <col min="8960" max="8960" width="9.85546875" style="956" customWidth="1"/>
    <col min="8961" max="8961" width="12.42578125" style="956" customWidth="1"/>
    <col min="8962" max="8967" width="12.7109375" style="956" customWidth="1"/>
    <col min="8968" max="8968" width="13" style="956" customWidth="1"/>
    <col min="8969" max="8970" width="12.7109375" style="956" customWidth="1"/>
    <col min="8971" max="8971" width="9.140625" style="956"/>
    <col min="8972" max="8972" width="11.140625" style="956" bestFit="1" customWidth="1"/>
    <col min="8973" max="9211" width="9.140625" style="956"/>
    <col min="9212" max="9212" width="4" style="956" customWidth="1"/>
    <col min="9213" max="9213" width="30.7109375" style="956" customWidth="1"/>
    <col min="9214" max="9215" width="10" style="956" customWidth="1"/>
    <col min="9216" max="9216" width="9.85546875" style="956" customWidth="1"/>
    <col min="9217" max="9217" width="12.42578125" style="956" customWidth="1"/>
    <col min="9218" max="9223" width="12.7109375" style="956" customWidth="1"/>
    <col min="9224" max="9224" width="13" style="956" customWidth="1"/>
    <col min="9225" max="9226" width="12.7109375" style="956" customWidth="1"/>
    <col min="9227" max="9227" width="9.140625" style="956"/>
    <col min="9228" max="9228" width="11.140625" style="956" bestFit="1" customWidth="1"/>
    <col min="9229" max="9467" width="9.140625" style="956"/>
    <col min="9468" max="9468" width="4" style="956" customWidth="1"/>
    <col min="9469" max="9469" width="30.7109375" style="956" customWidth="1"/>
    <col min="9470" max="9471" width="10" style="956" customWidth="1"/>
    <col min="9472" max="9472" width="9.85546875" style="956" customWidth="1"/>
    <col min="9473" max="9473" width="12.42578125" style="956" customWidth="1"/>
    <col min="9474" max="9479" width="12.7109375" style="956" customWidth="1"/>
    <col min="9480" max="9480" width="13" style="956" customWidth="1"/>
    <col min="9481" max="9482" width="12.7109375" style="956" customWidth="1"/>
    <col min="9483" max="9483" width="9.140625" style="956"/>
    <col min="9484" max="9484" width="11.140625" style="956" bestFit="1" customWidth="1"/>
    <col min="9485" max="9723" width="9.140625" style="956"/>
    <col min="9724" max="9724" width="4" style="956" customWidth="1"/>
    <col min="9725" max="9725" width="30.7109375" style="956" customWidth="1"/>
    <col min="9726" max="9727" width="10" style="956" customWidth="1"/>
    <col min="9728" max="9728" width="9.85546875" style="956" customWidth="1"/>
    <col min="9729" max="9729" width="12.42578125" style="956" customWidth="1"/>
    <col min="9730" max="9735" width="12.7109375" style="956" customWidth="1"/>
    <col min="9736" max="9736" width="13" style="956" customWidth="1"/>
    <col min="9737" max="9738" width="12.7109375" style="956" customWidth="1"/>
    <col min="9739" max="9739" width="9.140625" style="956"/>
    <col min="9740" max="9740" width="11.140625" style="956" bestFit="1" customWidth="1"/>
    <col min="9741" max="9979" width="9.140625" style="956"/>
    <col min="9980" max="9980" width="4" style="956" customWidth="1"/>
    <col min="9981" max="9981" width="30.7109375" style="956" customWidth="1"/>
    <col min="9982" max="9983" width="10" style="956" customWidth="1"/>
    <col min="9984" max="9984" width="9.85546875" style="956" customWidth="1"/>
    <col min="9985" max="9985" width="12.42578125" style="956" customWidth="1"/>
    <col min="9986" max="9991" width="12.7109375" style="956" customWidth="1"/>
    <col min="9992" max="9992" width="13" style="956" customWidth="1"/>
    <col min="9993" max="9994" width="12.7109375" style="956" customWidth="1"/>
    <col min="9995" max="9995" width="9.140625" style="956"/>
    <col min="9996" max="9996" width="11.140625" style="956" bestFit="1" customWidth="1"/>
    <col min="9997" max="10235" width="9.140625" style="956"/>
    <col min="10236" max="10236" width="4" style="956" customWidth="1"/>
    <col min="10237" max="10237" width="30.7109375" style="956" customWidth="1"/>
    <col min="10238" max="10239" width="10" style="956" customWidth="1"/>
    <col min="10240" max="10240" width="9.85546875" style="956" customWidth="1"/>
    <col min="10241" max="10241" width="12.42578125" style="956" customWidth="1"/>
    <col min="10242" max="10247" width="12.7109375" style="956" customWidth="1"/>
    <col min="10248" max="10248" width="13" style="956" customWidth="1"/>
    <col min="10249" max="10250" width="12.7109375" style="956" customWidth="1"/>
    <col min="10251" max="10251" width="9.140625" style="956"/>
    <col min="10252" max="10252" width="11.140625" style="956" bestFit="1" customWidth="1"/>
    <col min="10253" max="10491" width="9.140625" style="956"/>
    <col min="10492" max="10492" width="4" style="956" customWidth="1"/>
    <col min="10493" max="10493" width="30.7109375" style="956" customWidth="1"/>
    <col min="10494" max="10495" width="10" style="956" customWidth="1"/>
    <col min="10496" max="10496" width="9.85546875" style="956" customWidth="1"/>
    <col min="10497" max="10497" width="12.42578125" style="956" customWidth="1"/>
    <col min="10498" max="10503" width="12.7109375" style="956" customWidth="1"/>
    <col min="10504" max="10504" width="13" style="956" customWidth="1"/>
    <col min="10505" max="10506" width="12.7109375" style="956" customWidth="1"/>
    <col min="10507" max="10507" width="9.140625" style="956"/>
    <col min="10508" max="10508" width="11.140625" style="956" bestFit="1" customWidth="1"/>
    <col min="10509" max="10747" width="9.140625" style="956"/>
    <col min="10748" max="10748" width="4" style="956" customWidth="1"/>
    <col min="10749" max="10749" width="30.7109375" style="956" customWidth="1"/>
    <col min="10750" max="10751" width="10" style="956" customWidth="1"/>
    <col min="10752" max="10752" width="9.85546875" style="956" customWidth="1"/>
    <col min="10753" max="10753" width="12.42578125" style="956" customWidth="1"/>
    <col min="10754" max="10759" width="12.7109375" style="956" customWidth="1"/>
    <col min="10760" max="10760" width="13" style="956" customWidth="1"/>
    <col min="10761" max="10762" width="12.7109375" style="956" customWidth="1"/>
    <col min="10763" max="10763" width="9.140625" style="956"/>
    <col min="10764" max="10764" width="11.140625" style="956" bestFit="1" customWidth="1"/>
    <col min="10765" max="11003" width="9.140625" style="956"/>
    <col min="11004" max="11004" width="4" style="956" customWidth="1"/>
    <col min="11005" max="11005" width="30.7109375" style="956" customWidth="1"/>
    <col min="11006" max="11007" width="10" style="956" customWidth="1"/>
    <col min="11008" max="11008" width="9.85546875" style="956" customWidth="1"/>
    <col min="11009" max="11009" width="12.42578125" style="956" customWidth="1"/>
    <col min="11010" max="11015" width="12.7109375" style="956" customWidth="1"/>
    <col min="11016" max="11016" width="13" style="956" customWidth="1"/>
    <col min="11017" max="11018" width="12.7109375" style="956" customWidth="1"/>
    <col min="11019" max="11019" width="9.140625" style="956"/>
    <col min="11020" max="11020" width="11.140625" style="956" bestFit="1" customWidth="1"/>
    <col min="11021" max="11259" width="9.140625" style="956"/>
    <col min="11260" max="11260" width="4" style="956" customWidth="1"/>
    <col min="11261" max="11261" width="30.7109375" style="956" customWidth="1"/>
    <col min="11262" max="11263" width="10" style="956" customWidth="1"/>
    <col min="11264" max="11264" width="9.85546875" style="956" customWidth="1"/>
    <col min="11265" max="11265" width="12.42578125" style="956" customWidth="1"/>
    <col min="11266" max="11271" width="12.7109375" style="956" customWidth="1"/>
    <col min="11272" max="11272" width="13" style="956" customWidth="1"/>
    <col min="11273" max="11274" width="12.7109375" style="956" customWidth="1"/>
    <col min="11275" max="11275" width="9.140625" style="956"/>
    <col min="11276" max="11276" width="11.140625" style="956" bestFit="1" customWidth="1"/>
    <col min="11277" max="11515" width="9.140625" style="956"/>
    <col min="11516" max="11516" width="4" style="956" customWidth="1"/>
    <col min="11517" max="11517" width="30.7109375" style="956" customWidth="1"/>
    <col min="11518" max="11519" width="10" style="956" customWidth="1"/>
    <col min="11520" max="11520" width="9.85546875" style="956" customWidth="1"/>
    <col min="11521" max="11521" width="12.42578125" style="956" customWidth="1"/>
    <col min="11522" max="11527" width="12.7109375" style="956" customWidth="1"/>
    <col min="11528" max="11528" width="13" style="956" customWidth="1"/>
    <col min="11529" max="11530" width="12.7109375" style="956" customWidth="1"/>
    <col min="11531" max="11531" width="9.140625" style="956"/>
    <col min="11532" max="11532" width="11.140625" style="956" bestFit="1" customWidth="1"/>
    <col min="11533" max="11771" width="9.140625" style="956"/>
    <col min="11772" max="11772" width="4" style="956" customWidth="1"/>
    <col min="11773" max="11773" width="30.7109375" style="956" customWidth="1"/>
    <col min="11774" max="11775" width="10" style="956" customWidth="1"/>
    <col min="11776" max="11776" width="9.85546875" style="956" customWidth="1"/>
    <col min="11777" max="11777" width="12.42578125" style="956" customWidth="1"/>
    <col min="11778" max="11783" width="12.7109375" style="956" customWidth="1"/>
    <col min="11784" max="11784" width="13" style="956" customWidth="1"/>
    <col min="11785" max="11786" width="12.7109375" style="956" customWidth="1"/>
    <col min="11787" max="11787" width="9.140625" style="956"/>
    <col min="11788" max="11788" width="11.140625" style="956" bestFit="1" customWidth="1"/>
    <col min="11789" max="12027" width="9.140625" style="956"/>
    <col min="12028" max="12028" width="4" style="956" customWidth="1"/>
    <col min="12029" max="12029" width="30.7109375" style="956" customWidth="1"/>
    <col min="12030" max="12031" width="10" style="956" customWidth="1"/>
    <col min="12032" max="12032" width="9.85546875" style="956" customWidth="1"/>
    <col min="12033" max="12033" width="12.42578125" style="956" customWidth="1"/>
    <col min="12034" max="12039" width="12.7109375" style="956" customWidth="1"/>
    <col min="12040" max="12040" width="13" style="956" customWidth="1"/>
    <col min="12041" max="12042" width="12.7109375" style="956" customWidth="1"/>
    <col min="12043" max="12043" width="9.140625" style="956"/>
    <col min="12044" max="12044" width="11.140625" style="956" bestFit="1" customWidth="1"/>
    <col min="12045" max="12283" width="9.140625" style="956"/>
    <col min="12284" max="12284" width="4" style="956" customWidth="1"/>
    <col min="12285" max="12285" width="30.7109375" style="956" customWidth="1"/>
    <col min="12286" max="12287" width="10" style="956" customWidth="1"/>
    <col min="12288" max="12288" width="9.85546875" style="956" customWidth="1"/>
    <col min="12289" max="12289" width="12.42578125" style="956" customWidth="1"/>
    <col min="12290" max="12295" width="12.7109375" style="956" customWidth="1"/>
    <col min="12296" max="12296" width="13" style="956" customWidth="1"/>
    <col min="12297" max="12298" width="12.7109375" style="956" customWidth="1"/>
    <col min="12299" max="12299" width="9.140625" style="956"/>
    <col min="12300" max="12300" width="11.140625" style="956" bestFit="1" customWidth="1"/>
    <col min="12301" max="12539" width="9.140625" style="956"/>
    <col min="12540" max="12540" width="4" style="956" customWidth="1"/>
    <col min="12541" max="12541" width="30.7109375" style="956" customWidth="1"/>
    <col min="12542" max="12543" width="10" style="956" customWidth="1"/>
    <col min="12544" max="12544" width="9.85546875" style="956" customWidth="1"/>
    <col min="12545" max="12545" width="12.42578125" style="956" customWidth="1"/>
    <col min="12546" max="12551" width="12.7109375" style="956" customWidth="1"/>
    <col min="12552" max="12552" width="13" style="956" customWidth="1"/>
    <col min="12553" max="12554" width="12.7109375" style="956" customWidth="1"/>
    <col min="12555" max="12555" width="9.140625" style="956"/>
    <col min="12556" max="12556" width="11.140625" style="956" bestFit="1" customWidth="1"/>
    <col min="12557" max="12795" width="9.140625" style="956"/>
    <col min="12796" max="12796" width="4" style="956" customWidth="1"/>
    <col min="12797" max="12797" width="30.7109375" style="956" customWidth="1"/>
    <col min="12798" max="12799" width="10" style="956" customWidth="1"/>
    <col min="12800" max="12800" width="9.85546875" style="956" customWidth="1"/>
    <col min="12801" max="12801" width="12.42578125" style="956" customWidth="1"/>
    <col min="12802" max="12807" width="12.7109375" style="956" customWidth="1"/>
    <col min="12808" max="12808" width="13" style="956" customWidth="1"/>
    <col min="12809" max="12810" width="12.7109375" style="956" customWidth="1"/>
    <col min="12811" max="12811" width="9.140625" style="956"/>
    <col min="12812" max="12812" width="11.140625" style="956" bestFit="1" customWidth="1"/>
    <col min="12813" max="13051" width="9.140625" style="956"/>
    <col min="13052" max="13052" width="4" style="956" customWidth="1"/>
    <col min="13053" max="13053" width="30.7109375" style="956" customWidth="1"/>
    <col min="13054" max="13055" width="10" style="956" customWidth="1"/>
    <col min="13056" max="13056" width="9.85546875" style="956" customWidth="1"/>
    <col min="13057" max="13057" width="12.42578125" style="956" customWidth="1"/>
    <col min="13058" max="13063" width="12.7109375" style="956" customWidth="1"/>
    <col min="13064" max="13064" width="13" style="956" customWidth="1"/>
    <col min="13065" max="13066" width="12.7109375" style="956" customWidth="1"/>
    <col min="13067" max="13067" width="9.140625" style="956"/>
    <col min="13068" max="13068" width="11.140625" style="956" bestFit="1" customWidth="1"/>
    <col min="13069" max="13307" width="9.140625" style="956"/>
    <col min="13308" max="13308" width="4" style="956" customWidth="1"/>
    <col min="13309" max="13309" width="30.7109375" style="956" customWidth="1"/>
    <col min="13310" max="13311" width="10" style="956" customWidth="1"/>
    <col min="13312" max="13312" width="9.85546875" style="956" customWidth="1"/>
    <col min="13313" max="13313" width="12.42578125" style="956" customWidth="1"/>
    <col min="13314" max="13319" width="12.7109375" style="956" customWidth="1"/>
    <col min="13320" max="13320" width="13" style="956" customWidth="1"/>
    <col min="13321" max="13322" width="12.7109375" style="956" customWidth="1"/>
    <col min="13323" max="13323" width="9.140625" style="956"/>
    <col min="13324" max="13324" width="11.140625" style="956" bestFit="1" customWidth="1"/>
    <col min="13325" max="13563" width="9.140625" style="956"/>
    <col min="13564" max="13564" width="4" style="956" customWidth="1"/>
    <col min="13565" max="13565" width="30.7109375" style="956" customWidth="1"/>
    <col min="13566" max="13567" width="10" style="956" customWidth="1"/>
    <col min="13568" max="13568" width="9.85546875" style="956" customWidth="1"/>
    <col min="13569" max="13569" width="12.42578125" style="956" customWidth="1"/>
    <col min="13570" max="13575" width="12.7109375" style="956" customWidth="1"/>
    <col min="13576" max="13576" width="13" style="956" customWidth="1"/>
    <col min="13577" max="13578" width="12.7109375" style="956" customWidth="1"/>
    <col min="13579" max="13579" width="9.140625" style="956"/>
    <col min="13580" max="13580" width="11.140625" style="956" bestFit="1" customWidth="1"/>
    <col min="13581" max="13819" width="9.140625" style="956"/>
    <col min="13820" max="13820" width="4" style="956" customWidth="1"/>
    <col min="13821" max="13821" width="30.7109375" style="956" customWidth="1"/>
    <col min="13822" max="13823" width="10" style="956" customWidth="1"/>
    <col min="13824" max="13824" width="9.85546875" style="956" customWidth="1"/>
    <col min="13825" max="13825" width="12.42578125" style="956" customWidth="1"/>
    <col min="13826" max="13831" width="12.7109375" style="956" customWidth="1"/>
    <col min="13832" max="13832" width="13" style="956" customWidth="1"/>
    <col min="13833" max="13834" width="12.7109375" style="956" customWidth="1"/>
    <col min="13835" max="13835" width="9.140625" style="956"/>
    <col min="13836" max="13836" width="11.140625" style="956" bestFit="1" customWidth="1"/>
    <col min="13837" max="14075" width="9.140625" style="956"/>
    <col min="14076" max="14076" width="4" style="956" customWidth="1"/>
    <col min="14077" max="14077" width="30.7109375" style="956" customWidth="1"/>
    <col min="14078" max="14079" width="10" style="956" customWidth="1"/>
    <col min="14080" max="14080" width="9.85546875" style="956" customWidth="1"/>
    <col min="14081" max="14081" width="12.42578125" style="956" customWidth="1"/>
    <col min="14082" max="14087" width="12.7109375" style="956" customWidth="1"/>
    <col min="14088" max="14088" width="13" style="956" customWidth="1"/>
    <col min="14089" max="14090" width="12.7109375" style="956" customWidth="1"/>
    <col min="14091" max="14091" width="9.140625" style="956"/>
    <col min="14092" max="14092" width="11.140625" style="956" bestFit="1" customWidth="1"/>
    <col min="14093" max="14331" width="9.140625" style="956"/>
    <col min="14332" max="14332" width="4" style="956" customWidth="1"/>
    <col min="14333" max="14333" width="30.7109375" style="956" customWidth="1"/>
    <col min="14334" max="14335" width="10" style="956" customWidth="1"/>
    <col min="14336" max="14336" width="9.85546875" style="956" customWidth="1"/>
    <col min="14337" max="14337" width="12.42578125" style="956" customWidth="1"/>
    <col min="14338" max="14343" width="12.7109375" style="956" customWidth="1"/>
    <col min="14344" max="14344" width="13" style="956" customWidth="1"/>
    <col min="14345" max="14346" width="12.7109375" style="956" customWidth="1"/>
    <col min="14347" max="14347" width="9.140625" style="956"/>
    <col min="14348" max="14348" width="11.140625" style="956" bestFit="1" customWidth="1"/>
    <col min="14349" max="14587" width="9.140625" style="956"/>
    <col min="14588" max="14588" width="4" style="956" customWidth="1"/>
    <col min="14589" max="14589" width="30.7109375" style="956" customWidth="1"/>
    <col min="14590" max="14591" width="10" style="956" customWidth="1"/>
    <col min="14592" max="14592" width="9.85546875" style="956" customWidth="1"/>
    <col min="14593" max="14593" width="12.42578125" style="956" customWidth="1"/>
    <col min="14594" max="14599" width="12.7109375" style="956" customWidth="1"/>
    <col min="14600" max="14600" width="13" style="956" customWidth="1"/>
    <col min="14601" max="14602" width="12.7109375" style="956" customWidth="1"/>
    <col min="14603" max="14603" width="9.140625" style="956"/>
    <col min="14604" max="14604" width="11.140625" style="956" bestFit="1" customWidth="1"/>
    <col min="14605" max="14843" width="9.140625" style="956"/>
    <col min="14844" max="14844" width="4" style="956" customWidth="1"/>
    <col min="14845" max="14845" width="30.7109375" style="956" customWidth="1"/>
    <col min="14846" max="14847" width="10" style="956" customWidth="1"/>
    <col min="14848" max="14848" width="9.85546875" style="956" customWidth="1"/>
    <col min="14849" max="14849" width="12.42578125" style="956" customWidth="1"/>
    <col min="14850" max="14855" width="12.7109375" style="956" customWidth="1"/>
    <col min="14856" max="14856" width="13" style="956" customWidth="1"/>
    <col min="14857" max="14858" width="12.7109375" style="956" customWidth="1"/>
    <col min="14859" max="14859" width="9.140625" style="956"/>
    <col min="14860" max="14860" width="11.140625" style="956" bestFit="1" customWidth="1"/>
    <col min="14861" max="15099" width="9.140625" style="956"/>
    <col min="15100" max="15100" width="4" style="956" customWidth="1"/>
    <col min="15101" max="15101" width="30.7109375" style="956" customWidth="1"/>
    <col min="15102" max="15103" width="10" style="956" customWidth="1"/>
    <col min="15104" max="15104" width="9.85546875" style="956" customWidth="1"/>
    <col min="15105" max="15105" width="12.42578125" style="956" customWidth="1"/>
    <col min="15106" max="15111" width="12.7109375" style="956" customWidth="1"/>
    <col min="15112" max="15112" width="13" style="956" customWidth="1"/>
    <col min="15113" max="15114" width="12.7109375" style="956" customWidth="1"/>
    <col min="15115" max="15115" width="9.140625" style="956"/>
    <col min="15116" max="15116" width="11.140625" style="956" bestFit="1" customWidth="1"/>
    <col min="15117" max="15355" width="9.140625" style="956"/>
    <col min="15356" max="15356" width="4" style="956" customWidth="1"/>
    <col min="15357" max="15357" width="30.7109375" style="956" customWidth="1"/>
    <col min="15358" max="15359" width="10" style="956" customWidth="1"/>
    <col min="15360" max="15360" width="9.85546875" style="956" customWidth="1"/>
    <col min="15361" max="15361" width="12.42578125" style="956" customWidth="1"/>
    <col min="15362" max="15367" width="12.7109375" style="956" customWidth="1"/>
    <col min="15368" max="15368" width="13" style="956" customWidth="1"/>
    <col min="15369" max="15370" width="12.7109375" style="956" customWidth="1"/>
    <col min="15371" max="15371" width="9.140625" style="956"/>
    <col min="15372" max="15372" width="11.140625" style="956" bestFit="1" customWidth="1"/>
    <col min="15373" max="15611" width="9.140625" style="956"/>
    <col min="15612" max="15612" width="4" style="956" customWidth="1"/>
    <col min="15613" max="15613" width="30.7109375" style="956" customWidth="1"/>
    <col min="15614" max="15615" width="10" style="956" customWidth="1"/>
    <col min="15616" max="15616" width="9.85546875" style="956" customWidth="1"/>
    <col min="15617" max="15617" width="12.42578125" style="956" customWidth="1"/>
    <col min="15618" max="15623" width="12.7109375" style="956" customWidth="1"/>
    <col min="15624" max="15624" width="13" style="956" customWidth="1"/>
    <col min="15625" max="15626" width="12.7109375" style="956" customWidth="1"/>
    <col min="15627" max="15627" width="9.140625" style="956"/>
    <col min="15628" max="15628" width="11.140625" style="956" bestFit="1" customWidth="1"/>
    <col min="15629" max="15867" width="9.140625" style="956"/>
    <col min="15868" max="15868" width="4" style="956" customWidth="1"/>
    <col min="15869" max="15869" width="30.7109375" style="956" customWidth="1"/>
    <col min="15870" max="15871" width="10" style="956" customWidth="1"/>
    <col min="15872" max="15872" width="9.85546875" style="956" customWidth="1"/>
    <col min="15873" max="15873" width="12.42578125" style="956" customWidth="1"/>
    <col min="15874" max="15879" width="12.7109375" style="956" customWidth="1"/>
    <col min="15880" max="15880" width="13" style="956" customWidth="1"/>
    <col min="15881" max="15882" width="12.7109375" style="956" customWidth="1"/>
    <col min="15883" max="15883" width="9.140625" style="956"/>
    <col min="15884" max="15884" width="11.140625" style="956" bestFit="1" customWidth="1"/>
    <col min="15885" max="16123" width="9.140625" style="956"/>
    <col min="16124" max="16124" width="4" style="956" customWidth="1"/>
    <col min="16125" max="16125" width="30.7109375" style="956" customWidth="1"/>
    <col min="16126" max="16127" width="10" style="956" customWidth="1"/>
    <col min="16128" max="16128" width="9.85546875" style="956" customWidth="1"/>
    <col min="16129" max="16129" width="12.42578125" style="956" customWidth="1"/>
    <col min="16130" max="16135" width="12.7109375" style="956" customWidth="1"/>
    <col min="16136" max="16136" width="13" style="956" customWidth="1"/>
    <col min="16137" max="16138" width="12.7109375" style="956" customWidth="1"/>
    <col min="16139" max="16139" width="9.140625" style="956"/>
    <col min="16140" max="16140" width="11.140625" style="956" bestFit="1" customWidth="1"/>
    <col min="16141" max="16384" width="9.140625" style="956"/>
  </cols>
  <sheetData>
    <row r="1" spans="1:18" s="954" customFormat="1" ht="13.5" thickBot="1">
      <c r="A1" s="954" t="s">
        <v>15</v>
      </c>
      <c r="B1" s="955"/>
      <c r="D1" s="955"/>
    </row>
    <row r="2" spans="1:18" ht="23.25" thickBot="1">
      <c r="A2" s="1724" t="s">
        <v>16</v>
      </c>
      <c r="B2" s="1725"/>
      <c r="C2" s="1725"/>
      <c r="D2" s="1725"/>
      <c r="E2" s="1725"/>
      <c r="F2" s="1725"/>
      <c r="G2" s="1725"/>
      <c r="H2" s="1725"/>
      <c r="I2" s="1725"/>
      <c r="J2" s="1725"/>
      <c r="K2" s="1725"/>
      <c r="L2" s="1725"/>
      <c r="M2" s="1725"/>
    </row>
    <row r="3" spans="1:18" ht="16.5" thickBot="1">
      <c r="A3" s="1726" t="s">
        <v>17</v>
      </c>
      <c r="B3" s="1727"/>
      <c r="C3" s="1727"/>
      <c r="D3" s="1727"/>
      <c r="E3" s="1727"/>
      <c r="F3" s="1727"/>
      <c r="G3" s="1727"/>
      <c r="H3" s="1727"/>
      <c r="I3" s="1727"/>
      <c r="J3" s="1727"/>
      <c r="K3" s="1727"/>
      <c r="L3" s="1727"/>
      <c r="M3" s="1727"/>
    </row>
    <row r="4" spans="1:18" ht="26.25" thickBot="1">
      <c r="A4" s="957" t="s">
        <v>18</v>
      </c>
      <c r="B4" s="958"/>
      <c r="C4" s="959" t="s">
        <v>19</v>
      </c>
      <c r="D4" s="959"/>
      <c r="E4" s="960"/>
      <c r="F4" s="1728" t="s">
        <v>20</v>
      </c>
      <c r="G4" s="1131"/>
      <c r="H4" s="961" t="s">
        <v>21</v>
      </c>
      <c r="I4" s="762">
        <f>K16-I16</f>
        <v>-11193</v>
      </c>
      <c r="J4" s="354"/>
      <c r="K4" s="354"/>
      <c r="L4" s="962" t="s">
        <v>22</v>
      </c>
      <c r="M4" s="963" t="s">
        <v>23</v>
      </c>
    </row>
    <row r="5" spans="1:18" ht="26.25" thickBot="1">
      <c r="A5" s="964" t="s">
        <v>26</v>
      </c>
      <c r="B5" s="965"/>
      <c r="C5" s="966" t="s">
        <v>27</v>
      </c>
      <c r="D5" s="966"/>
      <c r="E5" s="967"/>
      <c r="F5" s="1729"/>
      <c r="G5" s="1132"/>
      <c r="H5" s="968" t="s">
        <v>28</v>
      </c>
      <c r="I5" s="354"/>
      <c r="J5" s="1305"/>
      <c r="K5" s="1305"/>
      <c r="L5" s="969" t="s">
        <v>29</v>
      </c>
      <c r="M5" s="970"/>
      <c r="N5" s="1306" t="s">
        <v>18</v>
      </c>
      <c r="O5" s="1307" t="s">
        <v>31</v>
      </c>
    </row>
    <row r="6" spans="1:18" ht="13.5" thickBot="1">
      <c r="A6" s="971"/>
      <c r="B6" s="972"/>
      <c r="E6" s="974"/>
      <c r="F6" s="355"/>
      <c r="G6" s="355"/>
      <c r="H6" s="976"/>
      <c r="I6" s="974"/>
      <c r="J6" s="974"/>
      <c r="K6" s="974"/>
      <c r="L6" s="974"/>
      <c r="M6" s="974"/>
    </row>
    <row r="7" spans="1:18" ht="28.5" customHeight="1" thickBot="1">
      <c r="A7" s="1730" t="s">
        <v>32</v>
      </c>
      <c r="B7" s="1733" t="s">
        <v>33</v>
      </c>
      <c r="C7" s="1733" t="s">
        <v>1571</v>
      </c>
      <c r="D7" s="1133"/>
      <c r="E7" s="1783" t="s">
        <v>35</v>
      </c>
      <c r="F7" s="1741" t="s">
        <v>36</v>
      </c>
      <c r="G7" s="1135"/>
      <c r="H7" s="1798" t="s">
        <v>1251</v>
      </c>
      <c r="I7" s="1799"/>
      <c r="J7" s="1763" t="s">
        <v>1572</v>
      </c>
      <c r="K7" s="1764"/>
      <c r="L7" s="1800" t="s">
        <v>1573</v>
      </c>
      <c r="M7" s="1801"/>
    </row>
    <row r="8" spans="1:18" ht="47.25" customHeight="1">
      <c r="A8" s="1731"/>
      <c r="B8" s="1734"/>
      <c r="C8" s="1736"/>
      <c r="D8" s="1134"/>
      <c r="E8" s="1784"/>
      <c r="F8" s="1742"/>
      <c r="G8" s="1136" t="s">
        <v>1606</v>
      </c>
      <c r="H8" s="1308"/>
      <c r="I8" s="1137"/>
      <c r="J8" s="1755"/>
      <c r="K8" s="1802"/>
      <c r="L8" s="1803" t="s">
        <v>1574</v>
      </c>
      <c r="M8" s="1804"/>
    </row>
    <row r="9" spans="1:18" ht="29.25" customHeight="1" thickBot="1">
      <c r="A9" s="1731"/>
      <c r="B9" s="1734"/>
      <c r="C9" s="1736"/>
      <c r="D9" s="1134" t="s">
        <v>1575</v>
      </c>
      <c r="E9" s="1784"/>
      <c r="F9" s="1742"/>
      <c r="G9" s="1136" t="s">
        <v>1607</v>
      </c>
      <c r="H9" s="1793" t="s">
        <v>1576</v>
      </c>
      <c r="I9" s="1793"/>
      <c r="J9" s="1792" t="s">
        <v>1577</v>
      </c>
      <c r="K9" s="1805"/>
      <c r="L9" s="1792" t="s">
        <v>1578</v>
      </c>
      <c r="M9" s="1805"/>
      <c r="N9" s="980"/>
    </row>
    <row r="10" spans="1:18" ht="39" customHeight="1" thickBot="1">
      <c r="A10" s="1731"/>
      <c r="B10" s="1734"/>
      <c r="C10" s="1736"/>
      <c r="D10" s="1134"/>
      <c r="E10" s="1784"/>
      <c r="F10" s="1742"/>
      <c r="G10" s="1136"/>
      <c r="H10" s="1791" t="s">
        <v>1579</v>
      </c>
      <c r="I10" s="1791"/>
      <c r="J10" s="1792" t="s">
        <v>1580</v>
      </c>
      <c r="K10" s="1792"/>
      <c r="L10" s="1793" t="s">
        <v>1581</v>
      </c>
      <c r="M10" s="1794"/>
      <c r="P10" s="1795" t="s">
        <v>1582</v>
      </c>
      <c r="Q10" s="1795"/>
    </row>
    <row r="11" spans="1:18" ht="13.5" thickBot="1">
      <c r="A11" s="1731"/>
      <c r="B11" s="1734"/>
      <c r="C11" s="1736"/>
      <c r="D11" s="1134"/>
      <c r="E11" s="1784"/>
      <c r="F11" s="1742"/>
      <c r="G11" s="1136"/>
      <c r="H11" s="1715" t="s">
        <v>46</v>
      </c>
      <c r="I11" s="1715"/>
      <c r="J11" s="1796" t="s">
        <v>46</v>
      </c>
      <c r="K11" s="1797"/>
      <c r="L11" s="1716" t="s">
        <v>46</v>
      </c>
      <c r="M11" s="1715"/>
      <c r="N11" s="980"/>
    </row>
    <row r="12" spans="1:18" ht="13.5" thickBot="1">
      <c r="A12" s="1731"/>
      <c r="B12" s="1735"/>
      <c r="C12" s="1737"/>
      <c r="D12" s="1309"/>
      <c r="E12" s="1785"/>
      <c r="F12" s="1743"/>
      <c r="G12" s="1138"/>
      <c r="H12" s="1312" t="s">
        <v>47</v>
      </c>
      <c r="I12" s="1311" t="s">
        <v>48</v>
      </c>
      <c r="J12" s="1312" t="s">
        <v>47</v>
      </c>
      <c r="K12" s="1313" t="s">
        <v>48</v>
      </c>
      <c r="L12" s="1312" t="s">
        <v>47</v>
      </c>
      <c r="M12" s="1311" t="s">
        <v>48</v>
      </c>
    </row>
    <row r="13" spans="1:18" ht="15">
      <c r="A13" s="1314">
        <v>1</v>
      </c>
      <c r="B13" s="1315" t="s">
        <v>1583</v>
      </c>
      <c r="C13" s="1316" t="s">
        <v>1584</v>
      </c>
      <c r="D13" s="1317" t="s">
        <v>1585</v>
      </c>
      <c r="E13" s="1001" t="s">
        <v>1564</v>
      </c>
      <c r="F13" s="1318">
        <v>840</v>
      </c>
      <c r="G13" s="1358">
        <f>F13*(D13-K13)</f>
        <v>461.99999999999761</v>
      </c>
      <c r="H13" s="1319">
        <v>93</v>
      </c>
      <c r="I13" s="1320">
        <f>H13-8</f>
        <v>85</v>
      </c>
      <c r="J13" s="1321">
        <f>157-72</f>
        <v>85</v>
      </c>
      <c r="K13" s="1322">
        <f>J13-13.25</f>
        <v>71.75</v>
      </c>
      <c r="L13" s="1323">
        <v>80</v>
      </c>
      <c r="M13" s="1323">
        <f>L13-11</f>
        <v>69</v>
      </c>
      <c r="N13" s="1315" t="s">
        <v>1586</v>
      </c>
      <c r="O13" s="1315" t="s">
        <v>147</v>
      </c>
      <c r="P13" s="956">
        <v>115</v>
      </c>
      <c r="Q13" s="956">
        <f>P13-19</f>
        <v>96</v>
      </c>
    </row>
    <row r="14" spans="1:18" ht="15">
      <c r="A14" s="1314">
        <v>2</v>
      </c>
      <c r="B14" s="1315" t="s">
        <v>1587</v>
      </c>
      <c r="C14" s="1316" t="s">
        <v>1588</v>
      </c>
      <c r="D14" s="1317" t="s">
        <v>1589</v>
      </c>
      <c r="E14" s="1001" t="s">
        <v>1564</v>
      </c>
      <c r="F14" s="1318">
        <v>1260</v>
      </c>
      <c r="G14" s="1358">
        <f>F14*(D14-K14)</f>
        <v>10142.999999999996</v>
      </c>
      <c r="H14" s="1324">
        <v>85</v>
      </c>
      <c r="I14" s="1320">
        <f>H14-8</f>
        <v>77</v>
      </c>
      <c r="J14" s="1325">
        <f>157-67</f>
        <v>90</v>
      </c>
      <c r="K14" s="997">
        <f>J14-13.05</f>
        <v>76.95</v>
      </c>
      <c r="L14" s="1326">
        <v>76</v>
      </c>
      <c r="M14" s="1326">
        <f>L14-11</f>
        <v>65</v>
      </c>
      <c r="N14" s="1315" t="s">
        <v>1586</v>
      </c>
      <c r="O14" s="1315" t="s">
        <v>150</v>
      </c>
      <c r="P14" s="956">
        <v>123</v>
      </c>
      <c r="Q14" s="956">
        <f>P14-19</f>
        <v>104</v>
      </c>
    </row>
    <row r="15" spans="1:18" ht="15.75" thickBot="1">
      <c r="A15" s="1314">
        <v>3</v>
      </c>
      <c r="B15" s="1315" t="s">
        <v>1590</v>
      </c>
      <c r="C15" s="1316" t="s">
        <v>1591</v>
      </c>
      <c r="D15" s="1317" t="s">
        <v>1592</v>
      </c>
      <c r="E15" s="1001" t="s">
        <v>1564</v>
      </c>
      <c r="F15" s="1318">
        <v>210</v>
      </c>
      <c r="G15" s="1358">
        <f>F15*(D15-K15)</f>
        <v>3716.9999999999977</v>
      </c>
      <c r="H15" s="1324">
        <v>135</v>
      </c>
      <c r="I15" s="1320">
        <f>H15-20</f>
        <v>115</v>
      </c>
      <c r="J15" s="1325">
        <v>120.8</v>
      </c>
      <c r="K15" s="997">
        <f>115</f>
        <v>115</v>
      </c>
      <c r="L15" s="1326">
        <v>134</v>
      </c>
      <c r="M15" s="1326">
        <f>L15-22</f>
        <v>112</v>
      </c>
      <c r="N15" s="1315" t="s">
        <v>1586</v>
      </c>
      <c r="O15" s="1315" t="s">
        <v>152</v>
      </c>
      <c r="P15" s="956">
        <v>130</v>
      </c>
      <c r="Q15" s="956">
        <f>P15-19</f>
        <v>111</v>
      </c>
    </row>
    <row r="16" spans="1:18" s="954" customFormat="1" ht="13.5" thickBot="1">
      <c r="A16" s="1327" t="s">
        <v>58</v>
      </c>
      <c r="B16" s="1328"/>
      <c r="C16" s="373">
        <f>SUMPRODUCT(C12:C15, $F$12:$F$15)</f>
        <v>0</v>
      </c>
      <c r="D16" s="373">
        <f>SUMPRODUCT(D13:D15, $F$13:$F$15)</f>
        <v>0</v>
      </c>
      <c r="E16" s="1329"/>
      <c r="F16" s="1330">
        <f>SUM(F13:F15)</f>
        <v>2310</v>
      </c>
      <c r="G16" s="372"/>
      <c r="H16" s="373">
        <f t="shared" ref="H16:M16" si="0">SUMPRODUCT(H12:H15, $F$12:$F$15)</f>
        <v>213570</v>
      </c>
      <c r="I16" s="373">
        <f t="shared" si="0"/>
        <v>192570</v>
      </c>
      <c r="J16" s="1046">
        <f t="shared" si="0"/>
        <v>210168</v>
      </c>
      <c r="K16" s="1046">
        <f t="shared" si="0"/>
        <v>181377</v>
      </c>
      <c r="L16" s="1046">
        <f t="shared" si="0"/>
        <v>191100</v>
      </c>
      <c r="M16" s="1046">
        <f t="shared" si="0"/>
        <v>163380</v>
      </c>
      <c r="Q16" s="1046">
        <f>SUMPRODUCT(Q12:Q15, $F$12:$F$15)</f>
        <v>234990</v>
      </c>
      <c r="R16" s="1047"/>
    </row>
    <row r="17" spans="1:17">
      <c r="A17" s="1704" t="s">
        <v>59</v>
      </c>
      <c r="B17" s="1705"/>
      <c r="C17" s="1048"/>
      <c r="D17" s="1049"/>
      <c r="E17" s="1048"/>
      <c r="F17" s="376"/>
      <c r="G17" s="1359"/>
      <c r="H17" s="379"/>
      <c r="I17" s="377">
        <v>0</v>
      </c>
      <c r="J17" s="379">
        <v>0</v>
      </c>
      <c r="K17" s="377">
        <v>0</v>
      </c>
      <c r="L17" s="379">
        <v>0</v>
      </c>
      <c r="M17" s="377">
        <v>0</v>
      </c>
    </row>
    <row r="18" spans="1:17">
      <c r="A18" s="1127" t="s">
        <v>60</v>
      </c>
      <c r="B18" s="1128"/>
      <c r="C18" s="1048"/>
      <c r="D18" s="1049"/>
      <c r="E18" s="1048"/>
      <c r="F18" s="376"/>
      <c r="G18" s="1359"/>
      <c r="H18" s="382"/>
      <c r="I18" s="380" t="s">
        <v>61</v>
      </c>
      <c r="J18" s="382"/>
      <c r="K18" s="380" t="s">
        <v>61</v>
      </c>
      <c r="L18" s="382"/>
      <c r="M18" s="380" t="s">
        <v>61</v>
      </c>
      <c r="N18" s="1050"/>
      <c r="Q18" s="1050"/>
    </row>
    <row r="19" spans="1:17">
      <c r="A19" s="1706" t="s">
        <v>62</v>
      </c>
      <c r="B19" s="1707"/>
      <c r="C19" s="1048"/>
      <c r="D19" s="1049"/>
      <c r="E19" s="1048"/>
      <c r="F19" s="376"/>
      <c r="G19" s="1359"/>
      <c r="H19" s="382"/>
      <c r="I19" s="380"/>
      <c r="J19" s="382"/>
      <c r="K19" s="380"/>
      <c r="L19" s="382"/>
      <c r="M19" s="380"/>
      <c r="Q19" s="1050">
        <f>H16-Q16</f>
        <v>-21420</v>
      </c>
    </row>
    <row r="20" spans="1:17" ht="12.95" customHeight="1">
      <c r="A20" s="1053" t="s">
        <v>63</v>
      </c>
      <c r="B20" s="1054"/>
      <c r="C20" s="1054"/>
      <c r="D20" s="1055"/>
      <c r="E20" s="1054"/>
      <c r="F20" s="1056"/>
      <c r="G20" s="1360"/>
      <c r="H20" s="1057"/>
      <c r="I20" s="1057"/>
      <c r="J20" s="1057"/>
      <c r="K20" s="1057"/>
      <c r="L20" s="1057"/>
      <c r="M20" s="1057"/>
    </row>
    <row r="21" spans="1:17" ht="12.95" customHeight="1">
      <c r="A21" s="1053"/>
      <c r="B21" s="1054" t="s">
        <v>64</v>
      </c>
      <c r="C21" s="1058"/>
      <c r="D21" s="1055"/>
      <c r="E21" s="1058"/>
      <c r="F21" s="1059"/>
      <c r="G21" s="1361"/>
      <c r="H21" s="386">
        <f>(H16+H17+H18+H19)*H20</f>
        <v>0</v>
      </c>
      <c r="I21" s="384">
        <f>(I16+I17+I19)*I20</f>
        <v>0</v>
      </c>
      <c r="J21" s="386">
        <f>(J16+J17+J18+J19)*J20</f>
        <v>0</v>
      </c>
      <c r="K21" s="384">
        <f>(K16+K17+K19)*K20</f>
        <v>0</v>
      </c>
      <c r="L21" s="386">
        <f>(L16+L17+L18+L19)*L20</f>
        <v>0</v>
      </c>
      <c r="M21" s="384">
        <f>(M16+M17+M19)*M20</f>
        <v>0</v>
      </c>
    </row>
    <row r="22" spans="1:17" ht="12" customHeight="1">
      <c r="A22" s="1706">
        <v>12</v>
      </c>
      <c r="B22" s="1707"/>
      <c r="C22" s="1058"/>
      <c r="D22" s="1055"/>
      <c r="E22" s="1060"/>
      <c r="F22" s="1061"/>
      <c r="G22" s="1362"/>
      <c r="H22" s="387">
        <v>0.125</v>
      </c>
      <c r="I22" s="387">
        <v>0.125</v>
      </c>
      <c r="J22" s="387">
        <v>0.125</v>
      </c>
      <c r="K22" s="387">
        <v>0.125</v>
      </c>
      <c r="L22" s="387">
        <v>0.125</v>
      </c>
      <c r="M22" s="387">
        <v>0.125</v>
      </c>
    </row>
    <row r="23" spans="1:17" ht="12.95" customHeight="1">
      <c r="A23" s="1127"/>
      <c r="B23" s="1128" t="s">
        <v>66</v>
      </c>
      <c r="C23" s="1058"/>
      <c r="D23" s="1055"/>
      <c r="E23" s="1060"/>
      <c r="F23" s="1061"/>
      <c r="G23" s="1362"/>
      <c r="H23" s="386">
        <f>(H21+H17+H18+H19+H16)*H22</f>
        <v>26696.25</v>
      </c>
      <c r="I23" s="384">
        <f>(I21+I17+I19+I16)*I22</f>
        <v>24071.25</v>
      </c>
      <c r="J23" s="386">
        <f>(J21+J17+J18+J19+J16)*J22</f>
        <v>26271</v>
      </c>
      <c r="K23" s="384">
        <f>(K21+K17+K19+K16)*K22</f>
        <v>22672.125</v>
      </c>
      <c r="L23" s="386">
        <f>(L21+L17+L18+L19+L16)*L22</f>
        <v>23887.5</v>
      </c>
      <c r="M23" s="384">
        <f>(M21+M17+M19+M16)*M22</f>
        <v>20422.5</v>
      </c>
    </row>
    <row r="24" spans="1:17" ht="12.95" customHeight="1">
      <c r="A24" s="1127" t="s">
        <v>67</v>
      </c>
      <c r="B24" s="1128"/>
      <c r="C24" s="1058"/>
      <c r="D24" s="1055"/>
      <c r="E24" s="1060"/>
      <c r="F24" s="1061"/>
      <c r="G24" s="1362"/>
      <c r="H24" s="387"/>
      <c r="I24" s="387"/>
      <c r="J24" s="387"/>
      <c r="K24" s="387"/>
      <c r="L24" s="387"/>
      <c r="M24" s="387"/>
    </row>
    <row r="25" spans="1:17" ht="12.95" customHeight="1">
      <c r="A25" s="1127"/>
      <c r="B25" s="1128" t="s">
        <v>68</v>
      </c>
      <c r="C25" s="1058"/>
      <c r="D25" s="1055"/>
      <c r="E25" s="1060"/>
      <c r="F25" s="1061"/>
      <c r="G25" s="1362"/>
      <c r="H25" s="386">
        <f>(H21+H17+H18+H19+H16)*H24</f>
        <v>0</v>
      </c>
      <c r="I25" s="384">
        <f>(I21+I17+I19+I16)*I24</f>
        <v>0</v>
      </c>
      <c r="J25" s="386"/>
      <c r="K25" s="384">
        <f>(K21+K17+K19+K16)*K24</f>
        <v>0</v>
      </c>
      <c r="L25" s="386"/>
      <c r="M25" s="384">
        <f>(M21+M17+M19+M16)*M24</f>
        <v>0</v>
      </c>
    </row>
    <row r="26" spans="1:17" ht="12.95" customHeight="1">
      <c r="A26" s="1706" t="s">
        <v>69</v>
      </c>
      <c r="B26" s="1707"/>
      <c r="C26" s="1058"/>
      <c r="D26" s="1055"/>
      <c r="E26" s="1062"/>
      <c r="F26" s="1061"/>
      <c r="G26" s="1362"/>
      <c r="H26" s="389"/>
      <c r="I26" s="387"/>
      <c r="J26" s="389"/>
      <c r="K26" s="387"/>
      <c r="L26" s="389"/>
      <c r="M26" s="387"/>
    </row>
    <row r="27" spans="1:17" ht="12.95" customHeight="1">
      <c r="A27" s="1129"/>
      <c r="B27" s="1130" t="s">
        <v>70</v>
      </c>
      <c r="C27" s="1065"/>
      <c r="D27" s="1066"/>
      <c r="E27" s="1067"/>
      <c r="F27" s="1068"/>
      <c r="G27" s="1363"/>
      <c r="H27" s="386">
        <f>H16*H26</f>
        <v>0</v>
      </c>
      <c r="I27" s="384">
        <f>I16*I26</f>
        <v>0</v>
      </c>
      <c r="J27" s="386"/>
      <c r="K27" s="384">
        <f>K16*K26</f>
        <v>0</v>
      </c>
      <c r="L27" s="386"/>
      <c r="M27" s="384">
        <f>M16*M26</f>
        <v>0</v>
      </c>
    </row>
    <row r="28" spans="1:17" ht="13.5" thickBot="1">
      <c r="A28" s="1708"/>
      <c r="B28" s="1709"/>
      <c r="C28" s="1065"/>
      <c r="D28" s="1066"/>
      <c r="E28" s="1065"/>
      <c r="F28" s="391"/>
      <c r="G28" s="1364"/>
      <c r="H28" s="394"/>
      <c r="I28" s="392"/>
      <c r="J28" s="394"/>
      <c r="K28" s="392"/>
      <c r="L28" s="394"/>
      <c r="M28" s="392"/>
    </row>
    <row r="29" spans="1:17" ht="13.5" thickBot="1">
      <c r="A29" s="1069" t="s">
        <v>71</v>
      </c>
      <c r="B29" s="1070"/>
      <c r="C29" s="1070"/>
      <c r="D29" s="1071"/>
      <c r="E29" s="1070"/>
      <c r="F29" s="1072"/>
      <c r="G29" s="1070"/>
      <c r="H29" s="1073">
        <f>SUM(H16,H17,H19,H21,H23)</f>
        <v>240266.25</v>
      </c>
      <c r="I29" s="1074">
        <f>SUM(I16:I28)</f>
        <v>216641.375</v>
      </c>
      <c r="J29" s="1073">
        <f>SUM(J16,J17,J19,J21,J23)</f>
        <v>236439</v>
      </c>
      <c r="K29" s="1074">
        <f>SUM(K16:K28)</f>
        <v>204049.25</v>
      </c>
      <c r="L29" s="1073">
        <f>SUM(L16,L17,L19,L21,L23)</f>
        <v>214987.5</v>
      </c>
      <c r="M29" s="1074">
        <f>SUM(M16:M28)</f>
        <v>183802.625</v>
      </c>
    </row>
    <row r="30" spans="1:17" s="1080" customFormat="1" ht="13.5" thickBot="1">
      <c r="A30" s="1075"/>
      <c r="B30" s="1076"/>
      <c r="C30" s="1076"/>
      <c r="D30" s="1077"/>
      <c r="E30" s="1076"/>
      <c r="F30" s="1076"/>
      <c r="G30" s="1076"/>
      <c r="H30" s="1078"/>
      <c r="I30" s="1079"/>
      <c r="J30" s="1331"/>
      <c r="K30" s="1079"/>
      <c r="L30" s="1331"/>
      <c r="M30" s="1079"/>
    </row>
    <row r="31" spans="1:17" s="954" customFormat="1" ht="13.5" thickBot="1">
      <c r="A31" s="1069" t="s">
        <v>72</v>
      </c>
      <c r="B31" s="1070"/>
      <c r="C31" s="1070"/>
      <c r="D31" s="1071"/>
      <c r="E31" s="1070"/>
      <c r="F31" s="1072"/>
      <c r="G31" s="1072"/>
      <c r="H31" s="1074">
        <f t="shared" ref="H31:M31" si="1">H16+H25+H17</f>
        <v>213570</v>
      </c>
      <c r="I31" s="1074">
        <f t="shared" si="1"/>
        <v>192570</v>
      </c>
      <c r="J31" s="1074">
        <f t="shared" si="1"/>
        <v>210168</v>
      </c>
      <c r="K31" s="1074">
        <f t="shared" si="1"/>
        <v>181377</v>
      </c>
      <c r="L31" s="1074">
        <f t="shared" si="1"/>
        <v>191100</v>
      </c>
      <c r="M31" s="1074">
        <f t="shared" si="1"/>
        <v>163380</v>
      </c>
    </row>
    <row r="32" spans="1:17" ht="13.5" thickBot="1">
      <c r="A32" s="1082"/>
      <c r="B32" s="1083" t="s">
        <v>1305</v>
      </c>
      <c r="C32" s="1084"/>
      <c r="D32" s="1083"/>
      <c r="E32" s="1084"/>
      <c r="F32" s="397"/>
      <c r="G32" s="1365"/>
      <c r="H32" s="1022"/>
      <c r="I32" s="1085"/>
      <c r="J32" s="1085"/>
      <c r="K32" s="1085"/>
      <c r="L32" s="1085"/>
      <c r="M32" s="1085"/>
    </row>
    <row r="33" spans="1:15">
      <c r="A33" s="1086" t="s">
        <v>73</v>
      </c>
      <c r="B33" s="1087" t="s">
        <v>74</v>
      </c>
      <c r="C33" s="1088"/>
      <c r="D33" s="1089"/>
      <c r="E33" s="1088"/>
      <c r="F33" s="399"/>
      <c r="G33" s="1366"/>
      <c r="H33" s="1090" t="s">
        <v>1593</v>
      </c>
      <c r="I33" s="1090" t="s">
        <v>1594</v>
      </c>
      <c r="J33" s="1090" t="s">
        <v>1595</v>
      </c>
      <c r="K33" s="1090" t="s">
        <v>1596</v>
      </c>
      <c r="L33" s="1090" t="s">
        <v>1597</v>
      </c>
      <c r="M33" s="1090" t="s">
        <v>1598</v>
      </c>
    </row>
    <row r="34" spans="1:15" ht="13.5" thickBot="1">
      <c r="A34" s="1091" t="s">
        <v>79</v>
      </c>
      <c r="B34" s="1092" t="s">
        <v>80</v>
      </c>
      <c r="C34" s="1093"/>
      <c r="D34" s="1094"/>
      <c r="E34" s="1093"/>
      <c r="F34" s="401"/>
      <c r="G34" s="401"/>
      <c r="H34" s="1096" t="s">
        <v>82</v>
      </c>
      <c r="I34" s="1095" t="s">
        <v>82</v>
      </c>
      <c r="J34" s="1095"/>
      <c r="K34" s="1095" t="s">
        <v>393</v>
      </c>
      <c r="L34" s="1095"/>
      <c r="M34" s="1095" t="s">
        <v>393</v>
      </c>
    </row>
    <row r="35" spans="1:15" ht="63.75">
      <c r="A35" s="1097" t="s">
        <v>85</v>
      </c>
      <c r="B35" s="1098" t="s">
        <v>86</v>
      </c>
      <c r="C35" s="1099"/>
      <c r="D35" s="1098"/>
      <c r="E35" s="1099"/>
      <c r="F35" s="402"/>
      <c r="G35" s="402"/>
      <c r="H35" s="1100" t="s">
        <v>1307</v>
      </c>
      <c r="I35" s="1100" t="s">
        <v>1307</v>
      </c>
      <c r="J35" s="1100" t="s">
        <v>1599</v>
      </c>
      <c r="K35" s="1100" t="s">
        <v>1599</v>
      </c>
      <c r="L35" s="1100" t="s">
        <v>167</v>
      </c>
      <c r="M35" s="1100" t="s">
        <v>394</v>
      </c>
    </row>
    <row r="36" spans="1:15">
      <c r="A36" s="1101" t="s">
        <v>90</v>
      </c>
      <c r="B36" s="1099" t="s">
        <v>91</v>
      </c>
      <c r="C36" s="1099"/>
      <c r="D36" s="1098"/>
      <c r="E36" s="1099"/>
      <c r="F36" s="402"/>
      <c r="G36" s="402"/>
      <c r="H36" s="1332" t="s">
        <v>332</v>
      </c>
      <c r="I36" s="1333" t="s">
        <v>332</v>
      </c>
      <c r="J36" s="1333" t="s">
        <v>332</v>
      </c>
      <c r="K36" s="1333" t="s">
        <v>332</v>
      </c>
      <c r="L36" s="1333" t="s">
        <v>332</v>
      </c>
      <c r="M36" s="1333" t="s">
        <v>332</v>
      </c>
    </row>
    <row r="37" spans="1:15" ht="39.950000000000003" customHeight="1">
      <c r="A37" s="1101" t="s">
        <v>93</v>
      </c>
      <c r="B37" s="1098" t="s">
        <v>94</v>
      </c>
      <c r="C37" s="1099"/>
      <c r="D37" s="1098"/>
      <c r="E37" s="1099"/>
      <c r="F37" s="402"/>
      <c r="G37" s="402"/>
      <c r="H37" s="1332" t="s">
        <v>332</v>
      </c>
      <c r="I37" s="1333" t="s">
        <v>332</v>
      </c>
      <c r="J37" s="1333" t="s">
        <v>332</v>
      </c>
      <c r="K37" s="1333" t="s">
        <v>332</v>
      </c>
      <c r="L37" s="1333" t="s">
        <v>332</v>
      </c>
      <c r="M37" s="1333" t="s">
        <v>332</v>
      </c>
    </row>
    <row r="38" spans="1:15" ht="140.25">
      <c r="A38" s="1101" t="s">
        <v>95</v>
      </c>
      <c r="B38" s="1098" t="s">
        <v>96</v>
      </c>
      <c r="C38" s="1099"/>
      <c r="D38" s="1098"/>
      <c r="E38" s="1099"/>
      <c r="F38" s="402"/>
      <c r="G38" s="402"/>
      <c r="H38" s="1100" t="s">
        <v>97</v>
      </c>
      <c r="I38" s="1100" t="s">
        <v>98</v>
      </c>
      <c r="J38" s="1100" t="s">
        <v>98</v>
      </c>
      <c r="K38" s="1100" t="s">
        <v>98</v>
      </c>
      <c r="L38" s="1100" t="s">
        <v>98</v>
      </c>
      <c r="M38" s="1100" t="s">
        <v>98</v>
      </c>
    </row>
    <row r="39" spans="1:15" ht="64.5" thickBot="1">
      <c r="A39" s="1104" t="s">
        <v>99</v>
      </c>
      <c r="B39" s="1105" t="s">
        <v>100</v>
      </c>
      <c r="C39" s="1106"/>
      <c r="D39" s="1105"/>
      <c r="E39" s="1106"/>
      <c r="F39" s="403"/>
      <c r="G39" s="402"/>
      <c r="H39" s="1096" t="s">
        <v>101</v>
      </c>
      <c r="I39" s="1334" t="s">
        <v>101</v>
      </c>
      <c r="J39" s="1334" t="s">
        <v>101</v>
      </c>
      <c r="K39" s="1334"/>
      <c r="L39" s="1334" t="s">
        <v>101</v>
      </c>
      <c r="M39" s="1334"/>
    </row>
    <row r="40" spans="1:15" ht="30" customHeight="1">
      <c r="A40" s="1710" t="s">
        <v>102</v>
      </c>
      <c r="B40" s="1711"/>
      <c r="C40" s="1712"/>
      <c r="D40" s="1107"/>
      <c r="E40" s="1695" t="s">
        <v>103</v>
      </c>
      <c r="F40" s="1696"/>
      <c r="G40" s="1696"/>
      <c r="H40" s="1697"/>
      <c r="I40" s="1698" t="s">
        <v>104</v>
      </c>
      <c r="J40" s="1699"/>
      <c r="K40" s="1699"/>
      <c r="L40" s="1699"/>
      <c r="M40" s="1700"/>
    </row>
    <row r="41" spans="1:15" ht="13.5" thickBot="1">
      <c r="A41" s="1710"/>
      <c r="B41" s="1711"/>
      <c r="C41" s="1712"/>
      <c r="D41" s="1107"/>
      <c r="E41" s="1695"/>
      <c r="F41" s="1696"/>
      <c r="G41" s="1696"/>
      <c r="H41" s="1697"/>
      <c r="I41" s="1701"/>
      <c r="J41" s="1702"/>
      <c r="K41" s="1702"/>
      <c r="L41" s="1702"/>
      <c r="M41" s="1703"/>
    </row>
    <row r="42" spans="1:15">
      <c r="A42" s="1108"/>
      <c r="B42" s="1109"/>
      <c r="C42" s="1110"/>
      <c r="D42" s="1109"/>
      <c r="E42" s="1110"/>
      <c r="F42" s="406"/>
      <c r="G42" s="406"/>
      <c r="H42" s="1110"/>
      <c r="I42" s="1110"/>
      <c r="J42" s="1110"/>
      <c r="K42" s="1110"/>
      <c r="L42" s="1110"/>
      <c r="M42" s="1110"/>
    </row>
    <row r="43" spans="1:15">
      <c r="A43" s="1112"/>
      <c r="B43" s="1113"/>
      <c r="C43" s="1111"/>
      <c r="D43" s="1113"/>
      <c r="E43" s="1111"/>
      <c r="F43" s="407"/>
      <c r="G43" s="407"/>
      <c r="H43" s="1111"/>
      <c r="I43" s="1111"/>
      <c r="J43" s="1111"/>
      <c r="K43" s="1111"/>
      <c r="L43" s="1111"/>
      <c r="M43" s="1111"/>
    </row>
    <row r="44" spans="1:15">
      <c r="A44" s="1112"/>
      <c r="B44" s="972" t="s">
        <v>105</v>
      </c>
      <c r="C44" s="974"/>
      <c r="D44" s="972"/>
      <c r="E44" s="974"/>
      <c r="F44" s="974" t="s">
        <v>106</v>
      </c>
      <c r="G44" s="974"/>
      <c r="H44" s="974"/>
      <c r="I44" s="974"/>
      <c r="J44" s="974"/>
      <c r="K44" s="974"/>
      <c r="L44" s="974"/>
      <c r="M44" s="974"/>
    </row>
    <row r="45" spans="1:15" ht="13.5" thickBot="1">
      <c r="A45" s="1114"/>
      <c r="B45" s="1115"/>
      <c r="C45" s="1116"/>
      <c r="D45" s="1115"/>
      <c r="E45" s="1116"/>
      <c r="F45" s="1116"/>
      <c r="G45" s="1116"/>
      <c r="H45" s="1116"/>
      <c r="I45" s="1116"/>
      <c r="J45" s="1116"/>
      <c r="K45" s="1116"/>
      <c r="L45" s="1116"/>
      <c r="M45" s="1116"/>
    </row>
    <row r="48" spans="1:15">
      <c r="A48" s="1314">
        <v>15</v>
      </c>
      <c r="B48" s="1335" t="s">
        <v>1600</v>
      </c>
      <c r="C48" s="981"/>
      <c r="E48" s="1335" t="s">
        <v>192</v>
      </c>
      <c r="F48" s="1336">
        <v>20</v>
      </c>
      <c r="G48" s="1336"/>
      <c r="H48" s="1324">
        <v>44</v>
      </c>
      <c r="I48" s="1324">
        <v>44</v>
      </c>
      <c r="J48" s="1325">
        <v>50</v>
      </c>
      <c r="K48" s="997">
        <f>J48</f>
        <v>50</v>
      </c>
      <c r="L48" s="1337">
        <v>44</v>
      </c>
      <c r="M48" s="997"/>
      <c r="N48" s="1338">
        <v>1100015598</v>
      </c>
      <c r="O48" s="1339">
        <v>10</v>
      </c>
    </row>
    <row r="49" spans="1:15">
      <c r="A49" s="1314">
        <v>16</v>
      </c>
      <c r="B49" s="1335" t="s">
        <v>1601</v>
      </c>
      <c r="C49" s="981"/>
      <c r="E49" s="1335" t="s">
        <v>192</v>
      </c>
      <c r="F49" s="1336">
        <v>20</v>
      </c>
      <c r="G49" s="1336"/>
      <c r="H49" s="1324">
        <v>59</v>
      </c>
      <c r="I49" s="1324">
        <v>59</v>
      </c>
      <c r="J49" s="1325">
        <v>54</v>
      </c>
      <c r="K49" s="997">
        <f>J49</f>
        <v>54</v>
      </c>
      <c r="L49" s="1337">
        <v>59</v>
      </c>
      <c r="M49" s="997"/>
      <c r="N49" s="1338">
        <v>1100015598</v>
      </c>
      <c r="O49" s="1339">
        <v>20</v>
      </c>
    </row>
    <row r="50" spans="1:15" ht="17.25" thickBot="1">
      <c r="A50" s="1314">
        <v>11</v>
      </c>
      <c r="B50" s="1335" t="s">
        <v>1602</v>
      </c>
      <c r="C50" s="981"/>
      <c r="E50" s="1335" t="s">
        <v>192</v>
      </c>
      <c r="F50" s="1336">
        <v>1</v>
      </c>
      <c r="G50" s="1336"/>
      <c r="H50" s="1324">
        <v>3500</v>
      </c>
      <c r="I50" s="1324">
        <v>3500</v>
      </c>
      <c r="J50" s="1325">
        <v>3000</v>
      </c>
      <c r="K50" s="997">
        <f>J50</f>
        <v>3000</v>
      </c>
      <c r="L50" s="1340">
        <v>4500</v>
      </c>
      <c r="M50" s="997"/>
      <c r="N50" s="1338">
        <v>1100014796</v>
      </c>
      <c r="O50" s="1339">
        <v>30</v>
      </c>
    </row>
    <row r="51" spans="1:15">
      <c r="B51" s="1341" t="s">
        <v>373</v>
      </c>
      <c r="C51" s="1342"/>
    </row>
    <row r="52" spans="1:15">
      <c r="B52" s="1343" t="s">
        <v>375</v>
      </c>
      <c r="C52" s="1344">
        <f>248/(1.106+0.27+0.26)</f>
        <v>151.58924205378972</v>
      </c>
    </row>
    <row r="53" spans="1:15">
      <c r="B53" s="1343" t="s">
        <v>377</v>
      </c>
      <c r="C53" s="1344">
        <f>181/(0.786+0.18+0.18)</f>
        <v>157.94066317626528</v>
      </c>
    </row>
    <row r="54" spans="1:15">
      <c r="B54" s="1345" t="s">
        <v>397</v>
      </c>
      <c r="C54" s="1346" t="e">
        <f>SUM(#REF!)*154.75</f>
        <v>#REF!</v>
      </c>
    </row>
    <row r="55" spans="1:15">
      <c r="B55" s="1345" t="s">
        <v>398</v>
      </c>
      <c r="C55" s="1347" t="e">
        <f>#REF!</f>
        <v>#REF!</v>
      </c>
    </row>
    <row r="56" spans="1:15" ht="26.25" thickBot="1">
      <c r="B56" s="1348" t="s">
        <v>399</v>
      </c>
      <c r="C56" s="1349" t="e">
        <f>C54-C55</f>
        <v>#REF!</v>
      </c>
    </row>
    <row r="58" spans="1:15" ht="13.5" thickBot="1"/>
    <row r="59" spans="1:15">
      <c r="B59" s="1350" t="s">
        <v>373</v>
      </c>
      <c r="C59" s="1342"/>
    </row>
    <row r="60" spans="1:15">
      <c r="B60" s="1351" t="s">
        <v>375</v>
      </c>
      <c r="C60" s="1344">
        <f>248/(1.106+0.27+0.26)</f>
        <v>151.58924205378972</v>
      </c>
    </row>
    <row r="61" spans="1:15">
      <c r="B61" s="1351" t="s">
        <v>377</v>
      </c>
      <c r="C61" s="1344">
        <f>181/(0.786+0.18+0.18)</f>
        <v>157.94066317626528</v>
      </c>
    </row>
  </sheetData>
  <mergeCells count="31">
    <mergeCell ref="A2:M2"/>
    <mergeCell ref="A3:M3"/>
    <mergeCell ref="F4:F5"/>
    <mergeCell ref="A7:A12"/>
    <mergeCell ref="B7:B12"/>
    <mergeCell ref="C7:C12"/>
    <mergeCell ref="E7:E12"/>
    <mergeCell ref="F7:F12"/>
    <mergeCell ref="H7:I7"/>
    <mergeCell ref="J7:K7"/>
    <mergeCell ref="L7:M7"/>
    <mergeCell ref="J8:K8"/>
    <mergeCell ref="L8:M8"/>
    <mergeCell ref="H9:I9"/>
    <mergeCell ref="J9:K9"/>
    <mergeCell ref="L9:M9"/>
    <mergeCell ref="H10:I10"/>
    <mergeCell ref="J10:K10"/>
    <mergeCell ref="L10:M10"/>
    <mergeCell ref="P10:Q10"/>
    <mergeCell ref="H11:I11"/>
    <mergeCell ref="J11:K11"/>
    <mergeCell ref="L11:M11"/>
    <mergeCell ref="E40:H41"/>
    <mergeCell ref="I40:M41"/>
    <mergeCell ref="A17:B17"/>
    <mergeCell ref="A19:B19"/>
    <mergeCell ref="A22:B22"/>
    <mergeCell ref="A26:B26"/>
    <mergeCell ref="A28:B28"/>
    <mergeCell ref="A40:C41"/>
  </mergeCells>
  <pageMargins left="0.25" right="0.25" top="0.75" bottom="0.75" header="0.3" footer="0.3"/>
  <pageSetup scale="50" orientation="landscape"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zoomScaleNormal="100" workbookViewId="0">
      <selection activeCell="J10" sqref="J10:K10"/>
    </sheetView>
  </sheetViews>
  <sheetFormatPr defaultRowHeight="12.75"/>
  <cols>
    <col min="1" max="1" width="6.140625" style="1147" customWidth="1"/>
    <col min="2" max="2" width="52.7109375" style="1302" customWidth="1"/>
    <col min="3" max="3" width="15.7109375" style="1302" customWidth="1"/>
    <col min="4" max="4" width="12.5703125" style="1302" customWidth="1"/>
    <col min="5" max="5" width="16" style="1147" customWidth="1"/>
    <col min="6" max="6" width="6.140625" style="1147" customWidth="1"/>
    <col min="7" max="7" width="12.7109375" style="1147" customWidth="1"/>
    <col min="8" max="8" width="21.85546875" style="1147" hidden="1" customWidth="1"/>
    <col min="9" max="9" width="19.140625" style="1147" hidden="1" customWidth="1"/>
    <col min="10" max="10" width="21.85546875" style="1147" customWidth="1"/>
    <col min="11" max="11" width="19.140625" style="1147" customWidth="1"/>
    <col min="12" max="12" width="21.85546875" style="1147" customWidth="1"/>
    <col min="13" max="13" width="19.140625" style="1147" customWidth="1"/>
    <col min="14" max="14" width="17.5703125" style="1147" customWidth="1"/>
    <col min="15" max="15" width="18.42578125" style="1147" customWidth="1"/>
    <col min="16" max="16" width="12.42578125" style="1147" bestFit="1" customWidth="1"/>
    <col min="17" max="17" width="11.140625" style="1147" bestFit="1" customWidth="1"/>
    <col min="18" max="18" width="9.140625" style="1147"/>
    <col min="19" max="19" width="11" style="1147" bestFit="1" customWidth="1"/>
    <col min="20" max="254" width="9.140625" style="1147"/>
    <col min="255" max="255" width="4" style="1147" customWidth="1"/>
    <col min="256" max="256" width="30.7109375" style="1147" customWidth="1"/>
    <col min="257" max="258" width="10" style="1147" customWidth="1"/>
    <col min="259" max="259" width="9.85546875" style="1147" customWidth="1"/>
    <col min="260" max="260" width="12.42578125" style="1147" customWidth="1"/>
    <col min="261" max="266" width="12.7109375" style="1147" customWidth="1"/>
    <col min="267" max="267" width="13" style="1147" customWidth="1"/>
    <col min="268" max="269" width="12.7109375" style="1147" customWidth="1"/>
    <col min="270" max="270" width="9.140625" style="1147"/>
    <col min="271" max="271" width="11.140625" style="1147" bestFit="1" customWidth="1"/>
    <col min="272" max="510" width="9.140625" style="1147"/>
    <col min="511" max="511" width="4" style="1147" customWidth="1"/>
    <col min="512" max="512" width="30.7109375" style="1147" customWidth="1"/>
    <col min="513" max="514" width="10" style="1147" customWidth="1"/>
    <col min="515" max="515" width="9.85546875" style="1147" customWidth="1"/>
    <col min="516" max="516" width="12.42578125" style="1147" customWidth="1"/>
    <col min="517" max="522" width="12.7109375" style="1147" customWidth="1"/>
    <col min="523" max="523" width="13" style="1147" customWidth="1"/>
    <col min="524" max="525" width="12.7109375" style="1147" customWidth="1"/>
    <col min="526" max="526" width="9.140625" style="1147"/>
    <col min="527" max="527" width="11.140625" style="1147" bestFit="1" customWidth="1"/>
    <col min="528" max="766" width="9.140625" style="1147"/>
    <col min="767" max="767" width="4" style="1147" customWidth="1"/>
    <col min="768" max="768" width="30.7109375" style="1147" customWidth="1"/>
    <col min="769" max="770" width="10" style="1147" customWidth="1"/>
    <col min="771" max="771" width="9.85546875" style="1147" customWidth="1"/>
    <col min="772" max="772" width="12.42578125" style="1147" customWidth="1"/>
    <col min="773" max="778" width="12.7109375" style="1147" customWidth="1"/>
    <col min="779" max="779" width="13" style="1147" customWidth="1"/>
    <col min="780" max="781" width="12.7109375" style="1147" customWidth="1"/>
    <col min="782" max="782" width="9.140625" style="1147"/>
    <col min="783" max="783" width="11.140625" style="1147" bestFit="1" customWidth="1"/>
    <col min="784" max="1022" width="9.140625" style="1147"/>
    <col min="1023" max="1023" width="4" style="1147" customWidth="1"/>
    <col min="1024" max="1024" width="30.7109375" style="1147" customWidth="1"/>
    <col min="1025" max="1026" width="10" style="1147" customWidth="1"/>
    <col min="1027" max="1027" width="9.85546875" style="1147" customWidth="1"/>
    <col min="1028" max="1028" width="12.42578125" style="1147" customWidth="1"/>
    <col min="1029" max="1034" width="12.7109375" style="1147" customWidth="1"/>
    <col min="1035" max="1035" width="13" style="1147" customWidth="1"/>
    <col min="1036" max="1037" width="12.7109375" style="1147" customWidth="1"/>
    <col min="1038" max="1038" width="9.140625" style="1147"/>
    <col min="1039" max="1039" width="11.140625" style="1147" bestFit="1" customWidth="1"/>
    <col min="1040" max="1278" width="9.140625" style="1147"/>
    <col min="1279" max="1279" width="4" style="1147" customWidth="1"/>
    <col min="1280" max="1280" width="30.7109375" style="1147" customWidth="1"/>
    <col min="1281" max="1282" width="10" style="1147" customWidth="1"/>
    <col min="1283" max="1283" width="9.85546875" style="1147" customWidth="1"/>
    <col min="1284" max="1284" width="12.42578125" style="1147" customWidth="1"/>
    <col min="1285" max="1290" width="12.7109375" style="1147" customWidth="1"/>
    <col min="1291" max="1291" width="13" style="1147" customWidth="1"/>
    <col min="1292" max="1293" width="12.7109375" style="1147" customWidth="1"/>
    <col min="1294" max="1294" width="9.140625" style="1147"/>
    <col min="1295" max="1295" width="11.140625" style="1147" bestFit="1" customWidth="1"/>
    <col min="1296" max="1534" width="9.140625" style="1147"/>
    <col min="1535" max="1535" width="4" style="1147" customWidth="1"/>
    <col min="1536" max="1536" width="30.7109375" style="1147" customWidth="1"/>
    <col min="1537" max="1538" width="10" style="1147" customWidth="1"/>
    <col min="1539" max="1539" width="9.85546875" style="1147" customWidth="1"/>
    <col min="1540" max="1540" width="12.42578125" style="1147" customWidth="1"/>
    <col min="1541" max="1546" width="12.7109375" style="1147" customWidth="1"/>
    <col min="1547" max="1547" width="13" style="1147" customWidth="1"/>
    <col min="1548" max="1549" width="12.7109375" style="1147" customWidth="1"/>
    <col min="1550" max="1550" width="9.140625" style="1147"/>
    <col min="1551" max="1551" width="11.140625" style="1147" bestFit="1" customWidth="1"/>
    <col min="1552" max="1790" width="9.140625" style="1147"/>
    <col min="1791" max="1791" width="4" style="1147" customWidth="1"/>
    <col min="1792" max="1792" width="30.7109375" style="1147" customWidth="1"/>
    <col min="1793" max="1794" width="10" style="1147" customWidth="1"/>
    <col min="1795" max="1795" width="9.85546875" style="1147" customWidth="1"/>
    <col min="1796" max="1796" width="12.42578125" style="1147" customWidth="1"/>
    <col min="1797" max="1802" width="12.7109375" style="1147" customWidth="1"/>
    <col min="1803" max="1803" width="13" style="1147" customWidth="1"/>
    <col min="1804" max="1805" width="12.7109375" style="1147" customWidth="1"/>
    <col min="1806" max="1806" width="9.140625" style="1147"/>
    <col min="1807" max="1807" width="11.140625" style="1147" bestFit="1" customWidth="1"/>
    <col min="1808" max="2046" width="9.140625" style="1147"/>
    <col min="2047" max="2047" width="4" style="1147" customWidth="1"/>
    <col min="2048" max="2048" width="30.7109375" style="1147" customWidth="1"/>
    <col min="2049" max="2050" width="10" style="1147" customWidth="1"/>
    <col min="2051" max="2051" width="9.85546875" style="1147" customWidth="1"/>
    <col min="2052" max="2052" width="12.42578125" style="1147" customWidth="1"/>
    <col min="2053" max="2058" width="12.7109375" style="1147" customWidth="1"/>
    <col min="2059" max="2059" width="13" style="1147" customWidth="1"/>
    <col min="2060" max="2061" width="12.7109375" style="1147" customWidth="1"/>
    <col min="2062" max="2062" width="9.140625" style="1147"/>
    <col min="2063" max="2063" width="11.140625" style="1147" bestFit="1" customWidth="1"/>
    <col min="2064" max="2302" width="9.140625" style="1147"/>
    <col min="2303" max="2303" width="4" style="1147" customWidth="1"/>
    <col min="2304" max="2304" width="30.7109375" style="1147" customWidth="1"/>
    <col min="2305" max="2306" width="10" style="1147" customWidth="1"/>
    <col min="2307" max="2307" width="9.85546875" style="1147" customWidth="1"/>
    <col min="2308" max="2308" width="12.42578125" style="1147" customWidth="1"/>
    <col min="2309" max="2314" width="12.7109375" style="1147" customWidth="1"/>
    <col min="2315" max="2315" width="13" style="1147" customWidth="1"/>
    <col min="2316" max="2317" width="12.7109375" style="1147" customWidth="1"/>
    <col min="2318" max="2318" width="9.140625" style="1147"/>
    <col min="2319" max="2319" width="11.140625" style="1147" bestFit="1" customWidth="1"/>
    <col min="2320" max="2558" width="9.140625" style="1147"/>
    <col min="2559" max="2559" width="4" style="1147" customWidth="1"/>
    <col min="2560" max="2560" width="30.7109375" style="1147" customWidth="1"/>
    <col min="2561" max="2562" width="10" style="1147" customWidth="1"/>
    <col min="2563" max="2563" width="9.85546875" style="1147" customWidth="1"/>
    <col min="2564" max="2564" width="12.42578125" style="1147" customWidth="1"/>
    <col min="2565" max="2570" width="12.7109375" style="1147" customWidth="1"/>
    <col min="2571" max="2571" width="13" style="1147" customWidth="1"/>
    <col min="2572" max="2573" width="12.7109375" style="1147" customWidth="1"/>
    <col min="2574" max="2574" width="9.140625" style="1147"/>
    <col min="2575" max="2575" width="11.140625" style="1147" bestFit="1" customWidth="1"/>
    <col min="2576" max="2814" width="9.140625" style="1147"/>
    <col min="2815" max="2815" width="4" style="1147" customWidth="1"/>
    <col min="2816" max="2816" width="30.7109375" style="1147" customWidth="1"/>
    <col min="2817" max="2818" width="10" style="1147" customWidth="1"/>
    <col min="2819" max="2819" width="9.85546875" style="1147" customWidth="1"/>
    <col min="2820" max="2820" width="12.42578125" style="1147" customWidth="1"/>
    <col min="2821" max="2826" width="12.7109375" style="1147" customWidth="1"/>
    <col min="2827" max="2827" width="13" style="1147" customWidth="1"/>
    <col min="2828" max="2829" width="12.7109375" style="1147" customWidth="1"/>
    <col min="2830" max="2830" width="9.140625" style="1147"/>
    <col min="2831" max="2831" width="11.140625" style="1147" bestFit="1" customWidth="1"/>
    <col min="2832" max="3070" width="9.140625" style="1147"/>
    <col min="3071" max="3071" width="4" style="1147" customWidth="1"/>
    <col min="3072" max="3072" width="30.7109375" style="1147" customWidth="1"/>
    <col min="3073" max="3074" width="10" style="1147" customWidth="1"/>
    <col min="3075" max="3075" width="9.85546875" style="1147" customWidth="1"/>
    <col min="3076" max="3076" width="12.42578125" style="1147" customWidth="1"/>
    <col min="3077" max="3082" width="12.7109375" style="1147" customWidth="1"/>
    <col min="3083" max="3083" width="13" style="1147" customWidth="1"/>
    <col min="3084" max="3085" width="12.7109375" style="1147" customWidth="1"/>
    <col min="3086" max="3086" width="9.140625" style="1147"/>
    <col min="3087" max="3087" width="11.140625" style="1147" bestFit="1" customWidth="1"/>
    <col min="3088" max="3326" width="9.140625" style="1147"/>
    <col min="3327" max="3327" width="4" style="1147" customWidth="1"/>
    <col min="3328" max="3328" width="30.7109375" style="1147" customWidth="1"/>
    <col min="3329" max="3330" width="10" style="1147" customWidth="1"/>
    <col min="3331" max="3331" width="9.85546875" style="1147" customWidth="1"/>
    <col min="3332" max="3332" width="12.42578125" style="1147" customWidth="1"/>
    <col min="3333" max="3338" width="12.7109375" style="1147" customWidth="1"/>
    <col min="3339" max="3339" width="13" style="1147" customWidth="1"/>
    <col min="3340" max="3341" width="12.7109375" style="1147" customWidth="1"/>
    <col min="3342" max="3342" width="9.140625" style="1147"/>
    <col min="3343" max="3343" width="11.140625" style="1147" bestFit="1" customWidth="1"/>
    <col min="3344" max="3582" width="9.140625" style="1147"/>
    <col min="3583" max="3583" width="4" style="1147" customWidth="1"/>
    <col min="3584" max="3584" width="30.7109375" style="1147" customWidth="1"/>
    <col min="3585" max="3586" width="10" style="1147" customWidth="1"/>
    <col min="3587" max="3587" width="9.85546875" style="1147" customWidth="1"/>
    <col min="3588" max="3588" width="12.42578125" style="1147" customWidth="1"/>
    <col min="3589" max="3594" width="12.7109375" style="1147" customWidth="1"/>
    <col min="3595" max="3595" width="13" style="1147" customWidth="1"/>
    <col min="3596" max="3597" width="12.7109375" style="1147" customWidth="1"/>
    <col min="3598" max="3598" width="9.140625" style="1147"/>
    <col min="3599" max="3599" width="11.140625" style="1147" bestFit="1" customWidth="1"/>
    <col min="3600" max="3838" width="9.140625" style="1147"/>
    <col min="3839" max="3839" width="4" style="1147" customWidth="1"/>
    <col min="3840" max="3840" width="30.7109375" style="1147" customWidth="1"/>
    <col min="3841" max="3842" width="10" style="1147" customWidth="1"/>
    <col min="3843" max="3843" width="9.85546875" style="1147" customWidth="1"/>
    <col min="3844" max="3844" width="12.42578125" style="1147" customWidth="1"/>
    <col min="3845" max="3850" width="12.7109375" style="1147" customWidth="1"/>
    <col min="3851" max="3851" width="13" style="1147" customWidth="1"/>
    <col min="3852" max="3853" width="12.7109375" style="1147" customWidth="1"/>
    <col min="3854" max="3854" width="9.140625" style="1147"/>
    <col min="3855" max="3855" width="11.140625" style="1147" bestFit="1" customWidth="1"/>
    <col min="3856" max="4094" width="9.140625" style="1147"/>
    <col min="4095" max="4095" width="4" style="1147" customWidth="1"/>
    <col min="4096" max="4096" width="30.7109375" style="1147" customWidth="1"/>
    <col min="4097" max="4098" width="10" style="1147" customWidth="1"/>
    <col min="4099" max="4099" width="9.85546875" style="1147" customWidth="1"/>
    <col min="4100" max="4100" width="12.42578125" style="1147" customWidth="1"/>
    <col min="4101" max="4106" width="12.7109375" style="1147" customWidth="1"/>
    <col min="4107" max="4107" width="13" style="1147" customWidth="1"/>
    <col min="4108" max="4109" width="12.7109375" style="1147" customWidth="1"/>
    <col min="4110" max="4110" width="9.140625" style="1147"/>
    <col min="4111" max="4111" width="11.140625" style="1147" bestFit="1" customWidth="1"/>
    <col min="4112" max="4350" width="9.140625" style="1147"/>
    <col min="4351" max="4351" width="4" style="1147" customWidth="1"/>
    <col min="4352" max="4352" width="30.7109375" style="1147" customWidth="1"/>
    <col min="4353" max="4354" width="10" style="1147" customWidth="1"/>
    <col min="4355" max="4355" width="9.85546875" style="1147" customWidth="1"/>
    <col min="4356" max="4356" width="12.42578125" style="1147" customWidth="1"/>
    <col min="4357" max="4362" width="12.7109375" style="1147" customWidth="1"/>
    <col min="4363" max="4363" width="13" style="1147" customWidth="1"/>
    <col min="4364" max="4365" width="12.7109375" style="1147" customWidth="1"/>
    <col min="4366" max="4366" width="9.140625" style="1147"/>
    <col min="4367" max="4367" width="11.140625" style="1147" bestFit="1" customWidth="1"/>
    <col min="4368" max="4606" width="9.140625" style="1147"/>
    <col min="4607" max="4607" width="4" style="1147" customWidth="1"/>
    <col min="4608" max="4608" width="30.7109375" style="1147" customWidth="1"/>
    <col min="4609" max="4610" width="10" style="1147" customWidth="1"/>
    <col min="4611" max="4611" width="9.85546875" style="1147" customWidth="1"/>
    <col min="4612" max="4612" width="12.42578125" style="1147" customWidth="1"/>
    <col min="4613" max="4618" width="12.7109375" style="1147" customWidth="1"/>
    <col min="4619" max="4619" width="13" style="1147" customWidth="1"/>
    <col min="4620" max="4621" width="12.7109375" style="1147" customWidth="1"/>
    <col min="4622" max="4622" width="9.140625" style="1147"/>
    <col min="4623" max="4623" width="11.140625" style="1147" bestFit="1" customWidth="1"/>
    <col min="4624" max="4862" width="9.140625" style="1147"/>
    <col min="4863" max="4863" width="4" style="1147" customWidth="1"/>
    <col min="4864" max="4864" width="30.7109375" style="1147" customWidth="1"/>
    <col min="4865" max="4866" width="10" style="1147" customWidth="1"/>
    <col min="4867" max="4867" width="9.85546875" style="1147" customWidth="1"/>
    <col min="4868" max="4868" width="12.42578125" style="1147" customWidth="1"/>
    <col min="4869" max="4874" width="12.7109375" style="1147" customWidth="1"/>
    <col min="4875" max="4875" width="13" style="1147" customWidth="1"/>
    <col min="4876" max="4877" width="12.7109375" style="1147" customWidth="1"/>
    <col min="4878" max="4878" width="9.140625" style="1147"/>
    <col min="4879" max="4879" width="11.140625" style="1147" bestFit="1" customWidth="1"/>
    <col min="4880" max="5118" width="9.140625" style="1147"/>
    <col min="5119" max="5119" width="4" style="1147" customWidth="1"/>
    <col min="5120" max="5120" width="30.7109375" style="1147" customWidth="1"/>
    <col min="5121" max="5122" width="10" style="1147" customWidth="1"/>
    <col min="5123" max="5123" width="9.85546875" style="1147" customWidth="1"/>
    <col min="5124" max="5124" width="12.42578125" style="1147" customWidth="1"/>
    <col min="5125" max="5130" width="12.7109375" style="1147" customWidth="1"/>
    <col min="5131" max="5131" width="13" style="1147" customWidth="1"/>
    <col min="5132" max="5133" width="12.7109375" style="1147" customWidth="1"/>
    <col min="5134" max="5134" width="9.140625" style="1147"/>
    <col min="5135" max="5135" width="11.140625" style="1147" bestFit="1" customWidth="1"/>
    <col min="5136" max="5374" width="9.140625" style="1147"/>
    <col min="5375" max="5375" width="4" style="1147" customWidth="1"/>
    <col min="5376" max="5376" width="30.7109375" style="1147" customWidth="1"/>
    <col min="5377" max="5378" width="10" style="1147" customWidth="1"/>
    <col min="5379" max="5379" width="9.85546875" style="1147" customWidth="1"/>
    <col min="5380" max="5380" width="12.42578125" style="1147" customWidth="1"/>
    <col min="5381" max="5386" width="12.7109375" style="1147" customWidth="1"/>
    <col min="5387" max="5387" width="13" style="1147" customWidth="1"/>
    <col min="5388" max="5389" width="12.7109375" style="1147" customWidth="1"/>
    <col min="5390" max="5390" width="9.140625" style="1147"/>
    <col min="5391" max="5391" width="11.140625" style="1147" bestFit="1" customWidth="1"/>
    <col min="5392" max="5630" width="9.140625" style="1147"/>
    <col min="5631" max="5631" width="4" style="1147" customWidth="1"/>
    <col min="5632" max="5632" width="30.7109375" style="1147" customWidth="1"/>
    <col min="5633" max="5634" width="10" style="1147" customWidth="1"/>
    <col min="5635" max="5635" width="9.85546875" style="1147" customWidth="1"/>
    <col min="5636" max="5636" width="12.42578125" style="1147" customWidth="1"/>
    <col min="5637" max="5642" width="12.7109375" style="1147" customWidth="1"/>
    <col min="5643" max="5643" width="13" style="1147" customWidth="1"/>
    <col min="5644" max="5645" width="12.7109375" style="1147" customWidth="1"/>
    <col min="5646" max="5646" width="9.140625" style="1147"/>
    <col min="5647" max="5647" width="11.140625" style="1147" bestFit="1" customWidth="1"/>
    <col min="5648" max="5886" width="9.140625" style="1147"/>
    <col min="5887" max="5887" width="4" style="1147" customWidth="1"/>
    <col min="5888" max="5888" width="30.7109375" style="1147" customWidth="1"/>
    <col min="5889" max="5890" width="10" style="1147" customWidth="1"/>
    <col min="5891" max="5891" width="9.85546875" style="1147" customWidth="1"/>
    <col min="5892" max="5892" width="12.42578125" style="1147" customWidth="1"/>
    <col min="5893" max="5898" width="12.7109375" style="1147" customWidth="1"/>
    <col min="5899" max="5899" width="13" style="1147" customWidth="1"/>
    <col min="5900" max="5901" width="12.7109375" style="1147" customWidth="1"/>
    <col min="5902" max="5902" width="9.140625" style="1147"/>
    <col min="5903" max="5903" width="11.140625" style="1147" bestFit="1" customWidth="1"/>
    <col min="5904" max="6142" width="9.140625" style="1147"/>
    <col min="6143" max="6143" width="4" style="1147" customWidth="1"/>
    <col min="6144" max="6144" width="30.7109375" style="1147" customWidth="1"/>
    <col min="6145" max="6146" width="10" style="1147" customWidth="1"/>
    <col min="6147" max="6147" width="9.85546875" style="1147" customWidth="1"/>
    <col min="6148" max="6148" width="12.42578125" style="1147" customWidth="1"/>
    <col min="6149" max="6154" width="12.7109375" style="1147" customWidth="1"/>
    <col min="6155" max="6155" width="13" style="1147" customWidth="1"/>
    <col min="6156" max="6157" width="12.7109375" style="1147" customWidth="1"/>
    <col min="6158" max="6158" width="9.140625" style="1147"/>
    <col min="6159" max="6159" width="11.140625" style="1147" bestFit="1" customWidth="1"/>
    <col min="6160" max="6398" width="9.140625" style="1147"/>
    <col min="6399" max="6399" width="4" style="1147" customWidth="1"/>
    <col min="6400" max="6400" width="30.7109375" style="1147" customWidth="1"/>
    <col min="6401" max="6402" width="10" style="1147" customWidth="1"/>
    <col min="6403" max="6403" width="9.85546875" style="1147" customWidth="1"/>
    <col min="6404" max="6404" width="12.42578125" style="1147" customWidth="1"/>
    <col min="6405" max="6410" width="12.7109375" style="1147" customWidth="1"/>
    <col min="6411" max="6411" width="13" style="1147" customWidth="1"/>
    <col min="6412" max="6413" width="12.7109375" style="1147" customWidth="1"/>
    <col min="6414" max="6414" width="9.140625" style="1147"/>
    <col min="6415" max="6415" width="11.140625" style="1147" bestFit="1" customWidth="1"/>
    <col min="6416" max="6654" width="9.140625" style="1147"/>
    <col min="6655" max="6655" width="4" style="1147" customWidth="1"/>
    <col min="6656" max="6656" width="30.7109375" style="1147" customWidth="1"/>
    <col min="6657" max="6658" width="10" style="1147" customWidth="1"/>
    <col min="6659" max="6659" width="9.85546875" style="1147" customWidth="1"/>
    <col min="6660" max="6660" width="12.42578125" style="1147" customWidth="1"/>
    <col min="6661" max="6666" width="12.7109375" style="1147" customWidth="1"/>
    <col min="6667" max="6667" width="13" style="1147" customWidth="1"/>
    <col min="6668" max="6669" width="12.7109375" style="1147" customWidth="1"/>
    <col min="6670" max="6670" width="9.140625" style="1147"/>
    <col min="6671" max="6671" width="11.140625" style="1147" bestFit="1" customWidth="1"/>
    <col min="6672" max="6910" width="9.140625" style="1147"/>
    <col min="6911" max="6911" width="4" style="1147" customWidth="1"/>
    <col min="6912" max="6912" width="30.7109375" style="1147" customWidth="1"/>
    <col min="6913" max="6914" width="10" style="1147" customWidth="1"/>
    <col min="6915" max="6915" width="9.85546875" style="1147" customWidth="1"/>
    <col min="6916" max="6916" width="12.42578125" style="1147" customWidth="1"/>
    <col min="6917" max="6922" width="12.7109375" style="1147" customWidth="1"/>
    <col min="6923" max="6923" width="13" style="1147" customWidth="1"/>
    <col min="6924" max="6925" width="12.7109375" style="1147" customWidth="1"/>
    <col min="6926" max="6926" width="9.140625" style="1147"/>
    <col min="6927" max="6927" width="11.140625" style="1147" bestFit="1" customWidth="1"/>
    <col min="6928" max="7166" width="9.140625" style="1147"/>
    <col min="7167" max="7167" width="4" style="1147" customWidth="1"/>
    <col min="7168" max="7168" width="30.7109375" style="1147" customWidth="1"/>
    <col min="7169" max="7170" width="10" style="1147" customWidth="1"/>
    <col min="7171" max="7171" width="9.85546875" style="1147" customWidth="1"/>
    <col min="7172" max="7172" width="12.42578125" style="1147" customWidth="1"/>
    <col min="7173" max="7178" width="12.7109375" style="1147" customWidth="1"/>
    <col min="7179" max="7179" width="13" style="1147" customWidth="1"/>
    <col min="7180" max="7181" width="12.7109375" style="1147" customWidth="1"/>
    <col min="7182" max="7182" width="9.140625" style="1147"/>
    <col min="7183" max="7183" width="11.140625" style="1147" bestFit="1" customWidth="1"/>
    <col min="7184" max="7422" width="9.140625" style="1147"/>
    <col min="7423" max="7423" width="4" style="1147" customWidth="1"/>
    <col min="7424" max="7424" width="30.7109375" style="1147" customWidth="1"/>
    <col min="7425" max="7426" width="10" style="1147" customWidth="1"/>
    <col min="7427" max="7427" width="9.85546875" style="1147" customWidth="1"/>
    <col min="7428" max="7428" width="12.42578125" style="1147" customWidth="1"/>
    <col min="7429" max="7434" width="12.7109375" style="1147" customWidth="1"/>
    <col min="7435" max="7435" width="13" style="1147" customWidth="1"/>
    <col min="7436" max="7437" width="12.7109375" style="1147" customWidth="1"/>
    <col min="7438" max="7438" width="9.140625" style="1147"/>
    <col min="7439" max="7439" width="11.140625" style="1147" bestFit="1" customWidth="1"/>
    <col min="7440" max="7678" width="9.140625" style="1147"/>
    <col min="7679" max="7679" width="4" style="1147" customWidth="1"/>
    <col min="7680" max="7680" width="30.7109375" style="1147" customWidth="1"/>
    <col min="7681" max="7682" width="10" style="1147" customWidth="1"/>
    <col min="7683" max="7683" width="9.85546875" style="1147" customWidth="1"/>
    <col min="7684" max="7684" width="12.42578125" style="1147" customWidth="1"/>
    <col min="7685" max="7690" width="12.7109375" style="1147" customWidth="1"/>
    <col min="7691" max="7691" width="13" style="1147" customWidth="1"/>
    <col min="7692" max="7693" width="12.7109375" style="1147" customWidth="1"/>
    <col min="7694" max="7694" width="9.140625" style="1147"/>
    <col min="7695" max="7695" width="11.140625" style="1147" bestFit="1" customWidth="1"/>
    <col min="7696" max="7934" width="9.140625" style="1147"/>
    <col min="7935" max="7935" width="4" style="1147" customWidth="1"/>
    <col min="7936" max="7936" width="30.7109375" style="1147" customWidth="1"/>
    <col min="7937" max="7938" width="10" style="1147" customWidth="1"/>
    <col min="7939" max="7939" width="9.85546875" style="1147" customWidth="1"/>
    <col min="7940" max="7940" width="12.42578125" style="1147" customWidth="1"/>
    <col min="7941" max="7946" width="12.7109375" style="1147" customWidth="1"/>
    <col min="7947" max="7947" width="13" style="1147" customWidth="1"/>
    <col min="7948" max="7949" width="12.7109375" style="1147" customWidth="1"/>
    <col min="7950" max="7950" width="9.140625" style="1147"/>
    <col min="7951" max="7951" width="11.140625" style="1147" bestFit="1" customWidth="1"/>
    <col min="7952" max="8190" width="9.140625" style="1147"/>
    <col min="8191" max="8191" width="4" style="1147" customWidth="1"/>
    <col min="8192" max="8192" width="30.7109375" style="1147" customWidth="1"/>
    <col min="8193" max="8194" width="10" style="1147" customWidth="1"/>
    <col min="8195" max="8195" width="9.85546875" style="1147" customWidth="1"/>
    <col min="8196" max="8196" width="12.42578125" style="1147" customWidth="1"/>
    <col min="8197" max="8202" width="12.7109375" style="1147" customWidth="1"/>
    <col min="8203" max="8203" width="13" style="1147" customWidth="1"/>
    <col min="8204" max="8205" width="12.7109375" style="1147" customWidth="1"/>
    <col min="8206" max="8206" width="9.140625" style="1147"/>
    <col min="8207" max="8207" width="11.140625" style="1147" bestFit="1" customWidth="1"/>
    <col min="8208" max="8446" width="9.140625" style="1147"/>
    <col min="8447" max="8447" width="4" style="1147" customWidth="1"/>
    <col min="8448" max="8448" width="30.7109375" style="1147" customWidth="1"/>
    <col min="8449" max="8450" width="10" style="1147" customWidth="1"/>
    <col min="8451" max="8451" width="9.85546875" style="1147" customWidth="1"/>
    <col min="8452" max="8452" width="12.42578125" style="1147" customWidth="1"/>
    <col min="8453" max="8458" width="12.7109375" style="1147" customWidth="1"/>
    <col min="8459" max="8459" width="13" style="1147" customWidth="1"/>
    <col min="8460" max="8461" width="12.7109375" style="1147" customWidth="1"/>
    <col min="8462" max="8462" width="9.140625" style="1147"/>
    <col min="8463" max="8463" width="11.140625" style="1147" bestFit="1" customWidth="1"/>
    <col min="8464" max="8702" width="9.140625" style="1147"/>
    <col min="8703" max="8703" width="4" style="1147" customWidth="1"/>
    <col min="8704" max="8704" width="30.7109375" style="1147" customWidth="1"/>
    <col min="8705" max="8706" width="10" style="1147" customWidth="1"/>
    <col min="8707" max="8707" width="9.85546875" style="1147" customWidth="1"/>
    <col min="8708" max="8708" width="12.42578125" style="1147" customWidth="1"/>
    <col min="8709" max="8714" width="12.7109375" style="1147" customWidth="1"/>
    <col min="8715" max="8715" width="13" style="1147" customWidth="1"/>
    <col min="8716" max="8717" width="12.7109375" style="1147" customWidth="1"/>
    <col min="8718" max="8718" width="9.140625" style="1147"/>
    <col min="8719" max="8719" width="11.140625" style="1147" bestFit="1" customWidth="1"/>
    <col min="8720" max="8958" width="9.140625" style="1147"/>
    <col min="8959" max="8959" width="4" style="1147" customWidth="1"/>
    <col min="8960" max="8960" width="30.7109375" style="1147" customWidth="1"/>
    <col min="8961" max="8962" width="10" style="1147" customWidth="1"/>
    <col min="8963" max="8963" width="9.85546875" style="1147" customWidth="1"/>
    <col min="8964" max="8964" width="12.42578125" style="1147" customWidth="1"/>
    <col min="8965" max="8970" width="12.7109375" style="1147" customWidth="1"/>
    <col min="8971" max="8971" width="13" style="1147" customWidth="1"/>
    <col min="8972" max="8973" width="12.7109375" style="1147" customWidth="1"/>
    <col min="8974" max="8974" width="9.140625" style="1147"/>
    <col min="8975" max="8975" width="11.140625" style="1147" bestFit="1" customWidth="1"/>
    <col min="8976" max="9214" width="9.140625" style="1147"/>
    <col min="9215" max="9215" width="4" style="1147" customWidth="1"/>
    <col min="9216" max="9216" width="30.7109375" style="1147" customWidth="1"/>
    <col min="9217" max="9218" width="10" style="1147" customWidth="1"/>
    <col min="9219" max="9219" width="9.85546875" style="1147" customWidth="1"/>
    <col min="9220" max="9220" width="12.42578125" style="1147" customWidth="1"/>
    <col min="9221" max="9226" width="12.7109375" style="1147" customWidth="1"/>
    <col min="9227" max="9227" width="13" style="1147" customWidth="1"/>
    <col min="9228" max="9229" width="12.7109375" style="1147" customWidth="1"/>
    <col min="9230" max="9230" width="9.140625" style="1147"/>
    <col min="9231" max="9231" width="11.140625" style="1147" bestFit="1" customWidth="1"/>
    <col min="9232" max="9470" width="9.140625" style="1147"/>
    <col min="9471" max="9471" width="4" style="1147" customWidth="1"/>
    <col min="9472" max="9472" width="30.7109375" style="1147" customWidth="1"/>
    <col min="9473" max="9474" width="10" style="1147" customWidth="1"/>
    <col min="9475" max="9475" width="9.85546875" style="1147" customWidth="1"/>
    <col min="9476" max="9476" width="12.42578125" style="1147" customWidth="1"/>
    <col min="9477" max="9482" width="12.7109375" style="1147" customWidth="1"/>
    <col min="9483" max="9483" width="13" style="1147" customWidth="1"/>
    <col min="9484" max="9485" width="12.7109375" style="1147" customWidth="1"/>
    <col min="9486" max="9486" width="9.140625" style="1147"/>
    <col min="9487" max="9487" width="11.140625" style="1147" bestFit="1" customWidth="1"/>
    <col min="9488" max="9726" width="9.140625" style="1147"/>
    <col min="9727" max="9727" width="4" style="1147" customWidth="1"/>
    <col min="9728" max="9728" width="30.7109375" style="1147" customWidth="1"/>
    <col min="9729" max="9730" width="10" style="1147" customWidth="1"/>
    <col min="9731" max="9731" width="9.85546875" style="1147" customWidth="1"/>
    <col min="9732" max="9732" width="12.42578125" style="1147" customWidth="1"/>
    <col min="9733" max="9738" width="12.7109375" style="1147" customWidth="1"/>
    <col min="9739" max="9739" width="13" style="1147" customWidth="1"/>
    <col min="9740" max="9741" width="12.7109375" style="1147" customWidth="1"/>
    <col min="9742" max="9742" width="9.140625" style="1147"/>
    <col min="9743" max="9743" width="11.140625" style="1147" bestFit="1" customWidth="1"/>
    <col min="9744" max="9982" width="9.140625" style="1147"/>
    <col min="9983" max="9983" width="4" style="1147" customWidth="1"/>
    <col min="9984" max="9984" width="30.7109375" style="1147" customWidth="1"/>
    <col min="9985" max="9986" width="10" style="1147" customWidth="1"/>
    <col min="9987" max="9987" width="9.85546875" style="1147" customWidth="1"/>
    <col min="9988" max="9988" width="12.42578125" style="1147" customWidth="1"/>
    <col min="9989" max="9994" width="12.7109375" style="1147" customWidth="1"/>
    <col min="9995" max="9995" width="13" style="1147" customWidth="1"/>
    <col min="9996" max="9997" width="12.7109375" style="1147" customWidth="1"/>
    <col min="9998" max="9998" width="9.140625" style="1147"/>
    <col min="9999" max="9999" width="11.140625" style="1147" bestFit="1" customWidth="1"/>
    <col min="10000" max="10238" width="9.140625" style="1147"/>
    <col min="10239" max="10239" width="4" style="1147" customWidth="1"/>
    <col min="10240" max="10240" width="30.7109375" style="1147" customWidth="1"/>
    <col min="10241" max="10242" width="10" style="1147" customWidth="1"/>
    <col min="10243" max="10243" width="9.85546875" style="1147" customWidth="1"/>
    <col min="10244" max="10244" width="12.42578125" style="1147" customWidth="1"/>
    <col min="10245" max="10250" width="12.7109375" style="1147" customWidth="1"/>
    <col min="10251" max="10251" width="13" style="1147" customWidth="1"/>
    <col min="10252" max="10253" width="12.7109375" style="1147" customWidth="1"/>
    <col min="10254" max="10254" width="9.140625" style="1147"/>
    <col min="10255" max="10255" width="11.140625" style="1147" bestFit="1" customWidth="1"/>
    <col min="10256" max="10494" width="9.140625" style="1147"/>
    <col min="10495" max="10495" width="4" style="1147" customWidth="1"/>
    <col min="10496" max="10496" width="30.7109375" style="1147" customWidth="1"/>
    <col min="10497" max="10498" width="10" style="1147" customWidth="1"/>
    <col min="10499" max="10499" width="9.85546875" style="1147" customWidth="1"/>
    <col min="10500" max="10500" width="12.42578125" style="1147" customWidth="1"/>
    <col min="10501" max="10506" width="12.7109375" style="1147" customWidth="1"/>
    <col min="10507" max="10507" width="13" style="1147" customWidth="1"/>
    <col min="10508" max="10509" width="12.7109375" style="1147" customWidth="1"/>
    <col min="10510" max="10510" width="9.140625" style="1147"/>
    <col min="10511" max="10511" width="11.140625" style="1147" bestFit="1" customWidth="1"/>
    <col min="10512" max="10750" width="9.140625" style="1147"/>
    <col min="10751" max="10751" width="4" style="1147" customWidth="1"/>
    <col min="10752" max="10752" width="30.7109375" style="1147" customWidth="1"/>
    <col min="10753" max="10754" width="10" style="1147" customWidth="1"/>
    <col min="10755" max="10755" width="9.85546875" style="1147" customWidth="1"/>
    <col min="10756" max="10756" width="12.42578125" style="1147" customWidth="1"/>
    <col min="10757" max="10762" width="12.7109375" style="1147" customWidth="1"/>
    <col min="10763" max="10763" width="13" style="1147" customWidth="1"/>
    <col min="10764" max="10765" width="12.7109375" style="1147" customWidth="1"/>
    <col min="10766" max="10766" width="9.140625" style="1147"/>
    <col min="10767" max="10767" width="11.140625" style="1147" bestFit="1" customWidth="1"/>
    <col min="10768" max="11006" width="9.140625" style="1147"/>
    <col min="11007" max="11007" width="4" style="1147" customWidth="1"/>
    <col min="11008" max="11008" width="30.7109375" style="1147" customWidth="1"/>
    <col min="11009" max="11010" width="10" style="1147" customWidth="1"/>
    <col min="11011" max="11011" width="9.85546875" style="1147" customWidth="1"/>
    <col min="11012" max="11012" width="12.42578125" style="1147" customWidth="1"/>
    <col min="11013" max="11018" width="12.7109375" style="1147" customWidth="1"/>
    <col min="11019" max="11019" width="13" style="1147" customWidth="1"/>
    <col min="11020" max="11021" width="12.7109375" style="1147" customWidth="1"/>
    <col min="11022" max="11022" width="9.140625" style="1147"/>
    <col min="11023" max="11023" width="11.140625" style="1147" bestFit="1" customWidth="1"/>
    <col min="11024" max="11262" width="9.140625" style="1147"/>
    <col min="11263" max="11263" width="4" style="1147" customWidth="1"/>
    <col min="11264" max="11264" width="30.7109375" style="1147" customWidth="1"/>
    <col min="11265" max="11266" width="10" style="1147" customWidth="1"/>
    <col min="11267" max="11267" width="9.85546875" style="1147" customWidth="1"/>
    <col min="11268" max="11268" width="12.42578125" style="1147" customWidth="1"/>
    <col min="11269" max="11274" width="12.7109375" style="1147" customWidth="1"/>
    <col min="11275" max="11275" width="13" style="1147" customWidth="1"/>
    <col min="11276" max="11277" width="12.7109375" style="1147" customWidth="1"/>
    <col min="11278" max="11278" width="9.140625" style="1147"/>
    <col min="11279" max="11279" width="11.140625" style="1147" bestFit="1" customWidth="1"/>
    <col min="11280" max="11518" width="9.140625" style="1147"/>
    <col min="11519" max="11519" width="4" style="1147" customWidth="1"/>
    <col min="11520" max="11520" width="30.7109375" style="1147" customWidth="1"/>
    <col min="11521" max="11522" width="10" style="1147" customWidth="1"/>
    <col min="11523" max="11523" width="9.85546875" style="1147" customWidth="1"/>
    <col min="11524" max="11524" width="12.42578125" style="1147" customWidth="1"/>
    <col min="11525" max="11530" width="12.7109375" style="1147" customWidth="1"/>
    <col min="11531" max="11531" width="13" style="1147" customWidth="1"/>
    <col min="11532" max="11533" width="12.7109375" style="1147" customWidth="1"/>
    <col min="11534" max="11534" width="9.140625" style="1147"/>
    <col min="11535" max="11535" width="11.140625" style="1147" bestFit="1" customWidth="1"/>
    <col min="11536" max="11774" width="9.140625" style="1147"/>
    <col min="11775" max="11775" width="4" style="1147" customWidth="1"/>
    <col min="11776" max="11776" width="30.7109375" style="1147" customWidth="1"/>
    <col min="11777" max="11778" width="10" style="1147" customWidth="1"/>
    <col min="11779" max="11779" width="9.85546875" style="1147" customWidth="1"/>
    <col min="11780" max="11780" width="12.42578125" style="1147" customWidth="1"/>
    <col min="11781" max="11786" width="12.7109375" style="1147" customWidth="1"/>
    <col min="11787" max="11787" width="13" style="1147" customWidth="1"/>
    <col min="11788" max="11789" width="12.7109375" style="1147" customWidth="1"/>
    <col min="11790" max="11790" width="9.140625" style="1147"/>
    <col min="11791" max="11791" width="11.140625" style="1147" bestFit="1" customWidth="1"/>
    <col min="11792" max="12030" width="9.140625" style="1147"/>
    <col min="12031" max="12031" width="4" style="1147" customWidth="1"/>
    <col min="12032" max="12032" width="30.7109375" style="1147" customWidth="1"/>
    <col min="12033" max="12034" width="10" style="1147" customWidth="1"/>
    <col min="12035" max="12035" width="9.85546875" style="1147" customWidth="1"/>
    <col min="12036" max="12036" width="12.42578125" style="1147" customWidth="1"/>
    <col min="12037" max="12042" width="12.7109375" style="1147" customWidth="1"/>
    <col min="12043" max="12043" width="13" style="1147" customWidth="1"/>
    <col min="12044" max="12045" width="12.7109375" style="1147" customWidth="1"/>
    <col min="12046" max="12046" width="9.140625" style="1147"/>
    <col min="12047" max="12047" width="11.140625" style="1147" bestFit="1" customWidth="1"/>
    <col min="12048" max="12286" width="9.140625" style="1147"/>
    <col min="12287" max="12287" width="4" style="1147" customWidth="1"/>
    <col min="12288" max="12288" width="30.7109375" style="1147" customWidth="1"/>
    <col min="12289" max="12290" width="10" style="1147" customWidth="1"/>
    <col min="12291" max="12291" width="9.85546875" style="1147" customWidth="1"/>
    <col min="12292" max="12292" width="12.42578125" style="1147" customWidth="1"/>
    <col min="12293" max="12298" width="12.7109375" style="1147" customWidth="1"/>
    <col min="12299" max="12299" width="13" style="1147" customWidth="1"/>
    <col min="12300" max="12301" width="12.7109375" style="1147" customWidth="1"/>
    <col min="12302" max="12302" width="9.140625" style="1147"/>
    <col min="12303" max="12303" width="11.140625" style="1147" bestFit="1" customWidth="1"/>
    <col min="12304" max="12542" width="9.140625" style="1147"/>
    <col min="12543" max="12543" width="4" style="1147" customWidth="1"/>
    <col min="12544" max="12544" width="30.7109375" style="1147" customWidth="1"/>
    <col min="12545" max="12546" width="10" style="1147" customWidth="1"/>
    <col min="12547" max="12547" width="9.85546875" style="1147" customWidth="1"/>
    <col min="12548" max="12548" width="12.42578125" style="1147" customWidth="1"/>
    <col min="12549" max="12554" width="12.7109375" style="1147" customWidth="1"/>
    <col min="12555" max="12555" width="13" style="1147" customWidth="1"/>
    <col min="12556" max="12557" width="12.7109375" style="1147" customWidth="1"/>
    <col min="12558" max="12558" width="9.140625" style="1147"/>
    <col min="12559" max="12559" width="11.140625" style="1147" bestFit="1" customWidth="1"/>
    <col min="12560" max="12798" width="9.140625" style="1147"/>
    <col min="12799" max="12799" width="4" style="1147" customWidth="1"/>
    <col min="12800" max="12800" width="30.7109375" style="1147" customWidth="1"/>
    <col min="12801" max="12802" width="10" style="1147" customWidth="1"/>
    <col min="12803" max="12803" width="9.85546875" style="1147" customWidth="1"/>
    <col min="12804" max="12804" width="12.42578125" style="1147" customWidth="1"/>
    <col min="12805" max="12810" width="12.7109375" style="1147" customWidth="1"/>
    <col min="12811" max="12811" width="13" style="1147" customWidth="1"/>
    <col min="12812" max="12813" width="12.7109375" style="1147" customWidth="1"/>
    <col min="12814" max="12814" width="9.140625" style="1147"/>
    <col min="12815" max="12815" width="11.140625" style="1147" bestFit="1" customWidth="1"/>
    <col min="12816" max="13054" width="9.140625" style="1147"/>
    <col min="13055" max="13055" width="4" style="1147" customWidth="1"/>
    <col min="13056" max="13056" width="30.7109375" style="1147" customWidth="1"/>
    <col min="13057" max="13058" width="10" style="1147" customWidth="1"/>
    <col min="13059" max="13059" width="9.85546875" style="1147" customWidth="1"/>
    <col min="13060" max="13060" width="12.42578125" style="1147" customWidth="1"/>
    <col min="13061" max="13066" width="12.7109375" style="1147" customWidth="1"/>
    <col min="13067" max="13067" width="13" style="1147" customWidth="1"/>
    <col min="13068" max="13069" width="12.7109375" style="1147" customWidth="1"/>
    <col min="13070" max="13070" width="9.140625" style="1147"/>
    <col min="13071" max="13071" width="11.140625" style="1147" bestFit="1" customWidth="1"/>
    <col min="13072" max="13310" width="9.140625" style="1147"/>
    <col min="13311" max="13311" width="4" style="1147" customWidth="1"/>
    <col min="13312" max="13312" width="30.7109375" style="1147" customWidth="1"/>
    <col min="13313" max="13314" width="10" style="1147" customWidth="1"/>
    <col min="13315" max="13315" width="9.85546875" style="1147" customWidth="1"/>
    <col min="13316" max="13316" width="12.42578125" style="1147" customWidth="1"/>
    <col min="13317" max="13322" width="12.7109375" style="1147" customWidth="1"/>
    <col min="13323" max="13323" width="13" style="1147" customWidth="1"/>
    <col min="13324" max="13325" width="12.7109375" style="1147" customWidth="1"/>
    <col min="13326" max="13326" width="9.140625" style="1147"/>
    <col min="13327" max="13327" width="11.140625" style="1147" bestFit="1" customWidth="1"/>
    <col min="13328" max="13566" width="9.140625" style="1147"/>
    <col min="13567" max="13567" width="4" style="1147" customWidth="1"/>
    <col min="13568" max="13568" width="30.7109375" style="1147" customWidth="1"/>
    <col min="13569" max="13570" width="10" style="1147" customWidth="1"/>
    <col min="13571" max="13571" width="9.85546875" style="1147" customWidth="1"/>
    <col min="13572" max="13572" width="12.42578125" style="1147" customWidth="1"/>
    <col min="13573" max="13578" width="12.7109375" style="1147" customWidth="1"/>
    <col min="13579" max="13579" width="13" style="1147" customWidth="1"/>
    <col min="13580" max="13581" width="12.7109375" style="1147" customWidth="1"/>
    <col min="13582" max="13582" width="9.140625" style="1147"/>
    <col min="13583" max="13583" width="11.140625" style="1147" bestFit="1" customWidth="1"/>
    <col min="13584" max="13822" width="9.140625" style="1147"/>
    <col min="13823" max="13823" width="4" style="1147" customWidth="1"/>
    <col min="13824" max="13824" width="30.7109375" style="1147" customWidth="1"/>
    <col min="13825" max="13826" width="10" style="1147" customWidth="1"/>
    <col min="13827" max="13827" width="9.85546875" style="1147" customWidth="1"/>
    <col min="13828" max="13828" width="12.42578125" style="1147" customWidth="1"/>
    <col min="13829" max="13834" width="12.7109375" style="1147" customWidth="1"/>
    <col min="13835" max="13835" width="13" style="1147" customWidth="1"/>
    <col min="13836" max="13837" width="12.7109375" style="1147" customWidth="1"/>
    <col min="13838" max="13838" width="9.140625" style="1147"/>
    <col min="13839" max="13839" width="11.140625" style="1147" bestFit="1" customWidth="1"/>
    <col min="13840" max="14078" width="9.140625" style="1147"/>
    <col min="14079" max="14079" width="4" style="1147" customWidth="1"/>
    <col min="14080" max="14080" width="30.7109375" style="1147" customWidth="1"/>
    <col min="14081" max="14082" width="10" style="1147" customWidth="1"/>
    <col min="14083" max="14083" width="9.85546875" style="1147" customWidth="1"/>
    <col min="14084" max="14084" width="12.42578125" style="1147" customWidth="1"/>
    <col min="14085" max="14090" width="12.7109375" style="1147" customWidth="1"/>
    <col min="14091" max="14091" width="13" style="1147" customWidth="1"/>
    <col min="14092" max="14093" width="12.7109375" style="1147" customWidth="1"/>
    <col min="14094" max="14094" width="9.140625" style="1147"/>
    <col min="14095" max="14095" width="11.140625" style="1147" bestFit="1" customWidth="1"/>
    <col min="14096" max="14334" width="9.140625" style="1147"/>
    <col min="14335" max="14335" width="4" style="1147" customWidth="1"/>
    <col min="14336" max="14336" width="30.7109375" style="1147" customWidth="1"/>
    <col min="14337" max="14338" width="10" style="1147" customWidth="1"/>
    <col min="14339" max="14339" width="9.85546875" style="1147" customWidth="1"/>
    <col min="14340" max="14340" width="12.42578125" style="1147" customWidth="1"/>
    <col min="14341" max="14346" width="12.7109375" style="1147" customWidth="1"/>
    <col min="14347" max="14347" width="13" style="1147" customWidth="1"/>
    <col min="14348" max="14349" width="12.7109375" style="1147" customWidth="1"/>
    <col min="14350" max="14350" width="9.140625" style="1147"/>
    <col min="14351" max="14351" width="11.140625" style="1147" bestFit="1" customWidth="1"/>
    <col min="14352" max="14590" width="9.140625" style="1147"/>
    <col min="14591" max="14591" width="4" style="1147" customWidth="1"/>
    <col min="14592" max="14592" width="30.7109375" style="1147" customWidth="1"/>
    <col min="14593" max="14594" width="10" style="1147" customWidth="1"/>
    <col min="14595" max="14595" width="9.85546875" style="1147" customWidth="1"/>
    <col min="14596" max="14596" width="12.42578125" style="1147" customWidth="1"/>
    <col min="14597" max="14602" width="12.7109375" style="1147" customWidth="1"/>
    <col min="14603" max="14603" width="13" style="1147" customWidth="1"/>
    <col min="14604" max="14605" width="12.7109375" style="1147" customWidth="1"/>
    <col min="14606" max="14606" width="9.140625" style="1147"/>
    <col min="14607" max="14607" width="11.140625" style="1147" bestFit="1" customWidth="1"/>
    <col min="14608" max="14846" width="9.140625" style="1147"/>
    <col min="14847" max="14847" width="4" style="1147" customWidth="1"/>
    <col min="14848" max="14848" width="30.7109375" style="1147" customWidth="1"/>
    <col min="14849" max="14850" width="10" style="1147" customWidth="1"/>
    <col min="14851" max="14851" width="9.85546875" style="1147" customWidth="1"/>
    <col min="14852" max="14852" width="12.42578125" style="1147" customWidth="1"/>
    <col min="14853" max="14858" width="12.7109375" style="1147" customWidth="1"/>
    <col min="14859" max="14859" width="13" style="1147" customWidth="1"/>
    <col min="14860" max="14861" width="12.7109375" style="1147" customWidth="1"/>
    <col min="14862" max="14862" width="9.140625" style="1147"/>
    <col min="14863" max="14863" width="11.140625" style="1147" bestFit="1" customWidth="1"/>
    <col min="14864" max="15102" width="9.140625" style="1147"/>
    <col min="15103" max="15103" width="4" style="1147" customWidth="1"/>
    <col min="15104" max="15104" width="30.7109375" style="1147" customWidth="1"/>
    <col min="15105" max="15106" width="10" style="1147" customWidth="1"/>
    <col min="15107" max="15107" width="9.85546875" style="1147" customWidth="1"/>
    <col min="15108" max="15108" width="12.42578125" style="1147" customWidth="1"/>
    <col min="15109" max="15114" width="12.7109375" style="1147" customWidth="1"/>
    <col min="15115" max="15115" width="13" style="1147" customWidth="1"/>
    <col min="15116" max="15117" width="12.7109375" style="1147" customWidth="1"/>
    <col min="15118" max="15118" width="9.140625" style="1147"/>
    <col min="15119" max="15119" width="11.140625" style="1147" bestFit="1" customWidth="1"/>
    <col min="15120" max="15358" width="9.140625" style="1147"/>
    <col min="15359" max="15359" width="4" style="1147" customWidth="1"/>
    <col min="15360" max="15360" width="30.7109375" style="1147" customWidth="1"/>
    <col min="15361" max="15362" width="10" style="1147" customWidth="1"/>
    <col min="15363" max="15363" width="9.85546875" style="1147" customWidth="1"/>
    <col min="15364" max="15364" width="12.42578125" style="1147" customWidth="1"/>
    <col min="15365" max="15370" width="12.7109375" style="1147" customWidth="1"/>
    <col min="15371" max="15371" width="13" style="1147" customWidth="1"/>
    <col min="15372" max="15373" width="12.7109375" style="1147" customWidth="1"/>
    <col min="15374" max="15374" width="9.140625" style="1147"/>
    <col min="15375" max="15375" width="11.140625" style="1147" bestFit="1" customWidth="1"/>
    <col min="15376" max="15614" width="9.140625" style="1147"/>
    <col min="15615" max="15615" width="4" style="1147" customWidth="1"/>
    <col min="15616" max="15616" width="30.7109375" style="1147" customWidth="1"/>
    <col min="15617" max="15618" width="10" style="1147" customWidth="1"/>
    <col min="15619" max="15619" width="9.85546875" style="1147" customWidth="1"/>
    <col min="15620" max="15620" width="12.42578125" style="1147" customWidth="1"/>
    <col min="15621" max="15626" width="12.7109375" style="1147" customWidth="1"/>
    <col min="15627" max="15627" width="13" style="1147" customWidth="1"/>
    <col min="15628" max="15629" width="12.7109375" style="1147" customWidth="1"/>
    <col min="15630" max="15630" width="9.140625" style="1147"/>
    <col min="15631" max="15631" width="11.140625" style="1147" bestFit="1" customWidth="1"/>
    <col min="15632" max="15870" width="9.140625" style="1147"/>
    <col min="15871" max="15871" width="4" style="1147" customWidth="1"/>
    <col min="15872" max="15872" width="30.7109375" style="1147" customWidth="1"/>
    <col min="15873" max="15874" width="10" style="1147" customWidth="1"/>
    <col min="15875" max="15875" width="9.85546875" style="1147" customWidth="1"/>
    <col min="15876" max="15876" width="12.42578125" style="1147" customWidth="1"/>
    <col min="15877" max="15882" width="12.7109375" style="1147" customWidth="1"/>
    <col min="15883" max="15883" width="13" style="1147" customWidth="1"/>
    <col min="15884" max="15885" width="12.7109375" style="1147" customWidth="1"/>
    <col min="15886" max="15886" width="9.140625" style="1147"/>
    <col min="15887" max="15887" width="11.140625" style="1147" bestFit="1" customWidth="1"/>
    <col min="15888" max="16126" width="9.140625" style="1147"/>
    <col min="16127" max="16127" width="4" style="1147" customWidth="1"/>
    <col min="16128" max="16128" width="30.7109375" style="1147" customWidth="1"/>
    <col min="16129" max="16130" width="10" style="1147" customWidth="1"/>
    <col min="16131" max="16131" width="9.85546875" style="1147" customWidth="1"/>
    <col min="16132" max="16132" width="12.42578125" style="1147" customWidth="1"/>
    <col min="16133" max="16138" width="12.7109375" style="1147" customWidth="1"/>
    <col min="16139" max="16139" width="13" style="1147" customWidth="1"/>
    <col min="16140" max="16141" width="12.7109375" style="1147" customWidth="1"/>
    <col min="16142" max="16142" width="9.140625" style="1147"/>
    <col min="16143" max="16143" width="11.140625" style="1147" bestFit="1" customWidth="1"/>
    <col min="16144" max="16384" width="9.140625" style="1147"/>
  </cols>
  <sheetData>
    <row r="1" spans="1:20" s="1143" customFormat="1" ht="13.5" thickBot="1">
      <c r="A1" s="1143" t="s">
        <v>15</v>
      </c>
      <c r="B1" s="1144"/>
      <c r="C1" s="1144"/>
      <c r="D1" s="1144"/>
    </row>
    <row r="2" spans="1:20" ht="23.25" thickBot="1">
      <c r="A2" s="1842" t="s">
        <v>16</v>
      </c>
      <c r="B2" s="1843"/>
      <c r="C2" s="1843"/>
      <c r="D2" s="1843"/>
      <c r="E2" s="1843"/>
      <c r="F2" s="1843"/>
      <c r="G2" s="1843"/>
      <c r="H2" s="1843"/>
      <c r="I2" s="1843"/>
      <c r="J2" s="1145"/>
      <c r="K2" s="1145"/>
      <c r="L2" s="1145"/>
      <c r="M2" s="1145"/>
      <c r="N2" s="1145"/>
      <c r="O2" s="1146"/>
    </row>
    <row r="3" spans="1:20" ht="16.5" thickBot="1">
      <c r="A3" s="1844" t="s">
        <v>17</v>
      </c>
      <c r="B3" s="1845"/>
      <c r="C3" s="1845"/>
      <c r="D3" s="1845"/>
      <c r="E3" s="1845"/>
      <c r="F3" s="1845"/>
      <c r="G3" s="1845"/>
      <c r="H3" s="1845"/>
      <c r="I3" s="1845"/>
      <c r="J3" s="1148"/>
      <c r="K3" s="1148"/>
      <c r="L3" s="1148"/>
      <c r="M3" s="1148"/>
      <c r="N3" s="1148"/>
      <c r="O3" s="1149"/>
    </row>
    <row r="4" spans="1:20" ht="25.5">
      <c r="A4" s="1150" t="s">
        <v>18</v>
      </c>
      <c r="B4" s="1151"/>
      <c r="C4" s="1152"/>
      <c r="D4" s="1152"/>
      <c r="E4" s="1153" t="s">
        <v>19</v>
      </c>
      <c r="F4" s="1154"/>
      <c r="G4" s="1846" t="s">
        <v>20</v>
      </c>
      <c r="H4" s="1838"/>
      <c r="I4" s="1839"/>
      <c r="J4" s="1838"/>
      <c r="K4" s="1839"/>
      <c r="L4" s="1838"/>
      <c r="M4" s="1839"/>
      <c r="N4" s="1155"/>
      <c r="O4" s="1156"/>
    </row>
    <row r="5" spans="1:20" ht="13.5" thickBot="1">
      <c r="A5" s="1157" t="s">
        <v>26</v>
      </c>
      <c r="B5" s="1158"/>
      <c r="C5" s="1158"/>
      <c r="D5" s="1158"/>
      <c r="E5" s="1159" t="s">
        <v>27</v>
      </c>
      <c r="F5" s="1160"/>
      <c r="G5" s="1847"/>
      <c r="H5" s="1840"/>
      <c r="I5" s="1841"/>
      <c r="J5" s="1840"/>
      <c r="K5" s="1841"/>
      <c r="L5" s="1840"/>
      <c r="M5" s="1841"/>
      <c r="N5" s="1161"/>
      <c r="O5" s="1162"/>
      <c r="P5" s="1162" t="s">
        <v>18</v>
      </c>
      <c r="Q5" s="1162" t="s">
        <v>31</v>
      </c>
    </row>
    <row r="6" spans="1:20" ht="13.5" thickBot="1">
      <c r="A6" s="1163"/>
      <c r="B6" s="1164"/>
      <c r="C6" s="1164"/>
      <c r="D6" s="1164"/>
      <c r="F6" s="1165"/>
      <c r="G6" s="355"/>
      <c r="H6" s="1166"/>
      <c r="I6" s="1165"/>
      <c r="J6" s="1166"/>
      <c r="K6" s="1165"/>
      <c r="L6" s="1166"/>
      <c r="M6" s="1165"/>
      <c r="N6" s="1167"/>
      <c r="O6" s="1165"/>
    </row>
    <row r="7" spans="1:20" ht="31.5" customHeight="1" thickBot="1">
      <c r="A7" s="1827" t="s">
        <v>32</v>
      </c>
      <c r="B7" s="1830" t="s">
        <v>33</v>
      </c>
      <c r="C7" s="1168"/>
      <c r="D7" s="1168"/>
      <c r="E7" s="1832" t="s">
        <v>1534</v>
      </c>
      <c r="F7" s="1834" t="s">
        <v>35</v>
      </c>
      <c r="G7" s="1836" t="s">
        <v>36</v>
      </c>
      <c r="H7" s="1718" t="s">
        <v>1413</v>
      </c>
      <c r="I7" s="1719"/>
      <c r="J7" s="1824" t="s">
        <v>1535</v>
      </c>
      <c r="K7" s="1825"/>
      <c r="L7" s="1824" t="s">
        <v>1536</v>
      </c>
      <c r="M7" s="1825"/>
      <c r="N7" s="1824" t="s">
        <v>1537</v>
      </c>
      <c r="O7" s="1825"/>
      <c r="P7" s="1169" t="s">
        <v>18</v>
      </c>
      <c r="Q7" s="1169" t="s">
        <v>31</v>
      </c>
    </row>
    <row r="8" spans="1:20" ht="19.5" customHeight="1">
      <c r="A8" s="1828"/>
      <c r="B8" s="1831"/>
      <c r="C8" s="1170"/>
      <c r="D8" s="1170"/>
      <c r="E8" s="1833"/>
      <c r="F8" s="1835"/>
      <c r="G8" s="1837"/>
      <c r="H8" s="1720" t="s">
        <v>1417</v>
      </c>
      <c r="I8" s="1721"/>
      <c r="J8" s="1826" t="s">
        <v>1538</v>
      </c>
      <c r="K8" s="1826"/>
      <c r="L8" s="1826" t="s">
        <v>1539</v>
      </c>
      <c r="M8" s="1826"/>
      <c r="N8" s="1826" t="s">
        <v>1540</v>
      </c>
      <c r="O8" s="1826"/>
      <c r="P8" s="1171"/>
      <c r="Q8" s="1171"/>
    </row>
    <row r="9" spans="1:20" ht="21.75" customHeight="1" thickBot="1">
      <c r="A9" s="1828"/>
      <c r="B9" s="1831"/>
      <c r="C9" s="1170"/>
      <c r="D9" s="1170"/>
      <c r="E9" s="1833"/>
      <c r="F9" s="1835"/>
      <c r="G9" s="1837"/>
      <c r="H9" s="1720"/>
      <c r="I9" s="1721"/>
      <c r="J9" s="1826"/>
      <c r="K9" s="1826"/>
      <c r="L9" s="1826"/>
      <c r="M9" s="1826"/>
      <c r="N9" s="1826"/>
      <c r="O9" s="1826"/>
      <c r="P9" s="1172"/>
      <c r="Q9" s="1171"/>
    </row>
    <row r="10" spans="1:20" ht="39" customHeight="1" thickBot="1">
      <c r="A10" s="1828"/>
      <c r="B10" s="1831"/>
      <c r="C10" s="1170" t="s">
        <v>1541</v>
      </c>
      <c r="D10" s="1170" t="s">
        <v>1422</v>
      </c>
      <c r="E10" s="1833"/>
      <c r="F10" s="1835"/>
      <c r="G10" s="1837"/>
      <c r="H10" s="1822" t="s">
        <v>1423</v>
      </c>
      <c r="I10" s="1823"/>
      <c r="J10" s="1818" t="s">
        <v>1542</v>
      </c>
      <c r="K10" s="1819"/>
      <c r="L10" s="1818" t="s">
        <v>1543</v>
      </c>
      <c r="M10" s="1819"/>
      <c r="N10" s="1818" t="s">
        <v>1544</v>
      </c>
      <c r="O10" s="1819"/>
      <c r="P10" s="1171"/>
      <c r="Q10" s="1171"/>
    </row>
    <row r="11" spans="1:20" ht="13.5" thickBot="1">
      <c r="A11" s="1828"/>
      <c r="B11" s="1831"/>
      <c r="C11" s="1170"/>
      <c r="D11" s="1170"/>
      <c r="E11" s="1833"/>
      <c r="F11" s="1835"/>
      <c r="G11" s="1837"/>
      <c r="H11" s="1820" t="s">
        <v>46</v>
      </c>
      <c r="I11" s="1821"/>
      <c r="J11" s="1820" t="s">
        <v>46</v>
      </c>
      <c r="K11" s="1821"/>
      <c r="L11" s="1820" t="s">
        <v>46</v>
      </c>
      <c r="M11" s="1821"/>
      <c r="N11" s="1820" t="s">
        <v>46</v>
      </c>
      <c r="O11" s="1821"/>
      <c r="P11" s="1172"/>
      <c r="Q11" s="1171"/>
    </row>
    <row r="12" spans="1:20" ht="13.5" thickBot="1">
      <c r="A12" s="1829"/>
      <c r="B12" s="1831"/>
      <c r="C12" s="1170"/>
      <c r="D12" s="1170"/>
      <c r="E12" s="1833"/>
      <c r="F12" s="1835"/>
      <c r="G12" s="1837"/>
      <c r="H12" s="1173" t="s">
        <v>47</v>
      </c>
      <c r="I12" s="1174" t="s">
        <v>48</v>
      </c>
      <c r="J12" s="1175" t="s">
        <v>47</v>
      </c>
      <c r="K12" s="1174" t="s">
        <v>48</v>
      </c>
      <c r="L12" s="1173" t="s">
        <v>47</v>
      </c>
      <c r="M12" s="1174" t="s">
        <v>48</v>
      </c>
      <c r="N12" s="1175" t="s">
        <v>47</v>
      </c>
      <c r="O12" s="1174" t="s">
        <v>48</v>
      </c>
      <c r="P12" s="1171"/>
      <c r="Q12" s="1171"/>
      <c r="R12" s="1176"/>
      <c r="S12" s="1176"/>
      <c r="T12" s="1176"/>
    </row>
    <row r="13" spans="1:20" ht="15.75">
      <c r="A13" s="1177"/>
      <c r="B13" s="1178"/>
      <c r="C13" s="1179"/>
      <c r="D13" s="1179"/>
      <c r="E13" s="1180"/>
      <c r="F13" s="1181"/>
      <c r="G13" s="1182"/>
      <c r="H13" s="1183"/>
      <c r="I13" s="1184"/>
      <c r="J13" s="1185"/>
      <c r="K13" s="1186"/>
      <c r="L13" s="1187"/>
      <c r="M13" s="1188"/>
      <c r="N13" s="1185"/>
      <c r="O13" s="1186"/>
      <c r="P13" s="1171"/>
      <c r="Q13" s="1171"/>
      <c r="R13" s="1176"/>
      <c r="S13" s="1176"/>
      <c r="T13" s="1176"/>
    </row>
    <row r="14" spans="1:20" ht="15.75">
      <c r="A14" s="1189">
        <v>1</v>
      </c>
      <c r="B14" s="1190" t="s">
        <v>1545</v>
      </c>
      <c r="C14" s="1191">
        <f>315*1.05</f>
        <v>330.75</v>
      </c>
      <c r="D14" s="1192">
        <f>K14/C14</f>
        <v>226.75736961451247</v>
      </c>
      <c r="E14" s="1193">
        <f>C14*200</f>
        <v>66150</v>
      </c>
      <c r="F14" s="1194" t="s">
        <v>192</v>
      </c>
      <c r="G14" s="1195">
        <v>1</v>
      </c>
      <c r="H14" s="901">
        <v>330000</v>
      </c>
      <c r="I14" s="1196">
        <v>280000</v>
      </c>
      <c r="J14" s="1197">
        <v>90000</v>
      </c>
      <c r="K14" s="1198">
        <v>75000</v>
      </c>
      <c r="L14" s="1199">
        <v>125400</v>
      </c>
      <c r="M14" s="1200">
        <v>85000</v>
      </c>
      <c r="N14" s="1197">
        <v>95000</v>
      </c>
      <c r="O14" s="1198">
        <v>90000</v>
      </c>
      <c r="P14" s="1201" t="s">
        <v>1546</v>
      </c>
      <c r="Q14" s="1201" t="s">
        <v>136</v>
      </c>
      <c r="R14" s="1176"/>
      <c r="S14" s="1176"/>
      <c r="T14" s="1176"/>
    </row>
    <row r="15" spans="1:20" ht="15.75">
      <c r="A15" s="1189">
        <v>2</v>
      </c>
      <c r="B15" s="1190" t="s">
        <v>1547</v>
      </c>
      <c r="C15" s="1191">
        <f>547*1.05</f>
        <v>574.35</v>
      </c>
      <c r="D15" s="1192">
        <f>K15/C15</f>
        <v>226.34282232088447</v>
      </c>
      <c r="E15" s="1193">
        <f>C15*200</f>
        <v>114870</v>
      </c>
      <c r="F15" s="1194" t="s">
        <v>192</v>
      </c>
      <c r="G15" s="1195">
        <v>1</v>
      </c>
      <c r="H15" s="901">
        <v>450000</v>
      </c>
      <c r="I15" s="1196">
        <v>400000</v>
      </c>
      <c r="J15" s="1197">
        <v>150000</v>
      </c>
      <c r="K15" s="1198">
        <v>130000</v>
      </c>
      <c r="L15" s="1199">
        <v>218880</v>
      </c>
      <c r="M15" s="1200">
        <v>145000</v>
      </c>
      <c r="N15" s="1197">
        <v>16000</v>
      </c>
      <c r="O15" s="1198">
        <v>150000</v>
      </c>
      <c r="P15" s="1201" t="s">
        <v>1546</v>
      </c>
      <c r="Q15" s="1201" t="s">
        <v>147</v>
      </c>
      <c r="R15" s="1176"/>
      <c r="S15" s="1176"/>
      <c r="T15" s="1176"/>
    </row>
    <row r="16" spans="1:20" ht="15.75" thickBot="1">
      <c r="A16" s="1202"/>
      <c r="B16" s="1203"/>
      <c r="C16" s="1204"/>
      <c r="D16" s="1204"/>
      <c r="E16" s="1205"/>
      <c r="F16" s="1206"/>
      <c r="G16" s="1202"/>
      <c r="H16" s="1207"/>
      <c r="I16" s="1208"/>
      <c r="J16" s="1209"/>
      <c r="K16" s="1210"/>
      <c r="L16" s="1211"/>
      <c r="M16" s="1210"/>
      <c r="N16" s="1209"/>
      <c r="O16" s="1210"/>
      <c r="P16" s="1212"/>
      <c r="Q16" s="1212"/>
      <c r="R16" s="1176"/>
      <c r="S16" s="1176"/>
      <c r="T16" s="1176"/>
    </row>
    <row r="17" spans="1:20" s="1143" customFormat="1" ht="13.5" thickBot="1">
      <c r="A17" s="1213" t="s">
        <v>58</v>
      </c>
      <c r="B17" s="1214"/>
      <c r="C17" s="1214">
        <f>SUM(C14:C16)</f>
        <v>905.1</v>
      </c>
      <c r="D17" s="1214"/>
      <c r="E17" s="373">
        <f>SUMPRODUCT(E14:E16, $G$14:$G$16)</f>
        <v>181020</v>
      </c>
      <c r="F17" s="1215"/>
      <c r="G17" s="575">
        <f>SUM(G14:G16)</f>
        <v>2</v>
      </c>
      <c r="H17" s="373">
        <f t="shared" ref="H17:O17" si="0">SUMPRODUCT(H13:H16, $G$13:$G$16)</f>
        <v>780000</v>
      </c>
      <c r="I17" s="373">
        <f t="shared" si="0"/>
        <v>680000</v>
      </c>
      <c r="J17" s="373">
        <f t="shared" si="0"/>
        <v>240000</v>
      </c>
      <c r="K17" s="373">
        <f t="shared" si="0"/>
        <v>205000</v>
      </c>
      <c r="L17" s="373">
        <f t="shared" si="0"/>
        <v>344280</v>
      </c>
      <c r="M17" s="373">
        <f t="shared" si="0"/>
        <v>230000</v>
      </c>
      <c r="N17" s="373">
        <f t="shared" si="0"/>
        <v>111000</v>
      </c>
      <c r="O17" s="373">
        <f t="shared" si="0"/>
        <v>240000</v>
      </c>
      <c r="P17" s="432"/>
      <c r="Q17" s="374"/>
      <c r="R17" s="1216"/>
      <c r="S17" s="577"/>
      <c r="T17" s="1216"/>
    </row>
    <row r="18" spans="1:20">
      <c r="A18" s="1810" t="s">
        <v>59</v>
      </c>
      <c r="B18" s="1811"/>
      <c r="C18" s="1217"/>
      <c r="D18" s="1217"/>
      <c r="E18" s="1218"/>
      <c r="F18" s="1218"/>
      <c r="G18" s="376"/>
      <c r="H18" s="377"/>
      <c r="I18" s="378"/>
      <c r="J18" s="377"/>
      <c r="K18" s="378"/>
      <c r="L18" s="377"/>
      <c r="M18" s="378"/>
      <c r="N18" s="377"/>
      <c r="O18" s="378"/>
      <c r="R18" s="1176"/>
      <c r="S18" s="1219"/>
      <c r="T18" s="1176"/>
    </row>
    <row r="19" spans="1:20">
      <c r="A19" s="1220" t="s">
        <v>60</v>
      </c>
      <c r="B19" s="1221"/>
      <c r="C19" s="1217"/>
      <c r="D19" s="1217"/>
      <c r="E19" s="1218"/>
      <c r="F19" s="1218"/>
      <c r="G19" s="376"/>
      <c r="H19" s="380"/>
      <c r="I19" s="381" t="s">
        <v>61</v>
      </c>
      <c r="J19" s="380"/>
      <c r="K19" s="381" t="s">
        <v>61</v>
      </c>
      <c r="L19" s="380"/>
      <c r="M19" s="381" t="s">
        <v>61</v>
      </c>
      <c r="N19" s="380"/>
      <c r="O19" s="381" t="s">
        <v>61</v>
      </c>
    </row>
    <row r="20" spans="1:20">
      <c r="A20" s="1812" t="s">
        <v>62</v>
      </c>
      <c r="B20" s="1813"/>
      <c r="C20" s="1217"/>
      <c r="D20" s="1217"/>
      <c r="E20" s="1218"/>
      <c r="F20" s="1218"/>
      <c r="G20" s="376"/>
      <c r="H20" s="380"/>
      <c r="I20" s="381"/>
      <c r="J20" s="380"/>
      <c r="K20" s="381"/>
      <c r="L20" s="380"/>
      <c r="M20" s="381">
        <v>0</v>
      </c>
      <c r="N20" s="380"/>
      <c r="O20" s="381"/>
    </row>
    <row r="21" spans="1:20" ht="12.95" customHeight="1">
      <c r="A21" s="1222" t="s">
        <v>1429</v>
      </c>
      <c r="B21" s="1223"/>
      <c r="C21" s="1223"/>
      <c r="D21" s="1223"/>
      <c r="E21" s="1223"/>
      <c r="F21" s="1223"/>
      <c r="G21" s="1224"/>
      <c r="H21" s="1225">
        <v>0.125</v>
      </c>
      <c r="I21" s="1225">
        <v>0.125</v>
      </c>
      <c r="J21" s="1225">
        <v>0.125</v>
      </c>
      <c r="K21" s="1225">
        <v>0.125</v>
      </c>
      <c r="L21" s="1225">
        <v>0.125</v>
      </c>
      <c r="M21" s="1225">
        <v>0.125</v>
      </c>
      <c r="N21" s="1225">
        <v>0.125</v>
      </c>
      <c r="O21" s="1225">
        <v>0.125</v>
      </c>
    </row>
    <row r="22" spans="1:20" ht="12.95" customHeight="1">
      <c r="A22" s="1222"/>
      <c r="B22" s="1223" t="s">
        <v>64</v>
      </c>
      <c r="C22" s="1223"/>
      <c r="D22" s="1223"/>
      <c r="E22" s="1226"/>
      <c r="F22" s="1226"/>
      <c r="G22" s="1227"/>
      <c r="H22" s="384">
        <f>(H17+H18+H19+H20)*H21</f>
        <v>97500</v>
      </c>
      <c r="I22" s="385">
        <f>(I17+I18+I20)*I21</f>
        <v>85000</v>
      </c>
      <c r="J22" s="384">
        <f>(J17+J18+J19+J20)*J21</f>
        <v>30000</v>
      </c>
      <c r="K22" s="385">
        <f>(K17+K18+K20)*K21</f>
        <v>25625</v>
      </c>
      <c r="L22" s="384">
        <f>(L17+L18+L19+L20)*L21</f>
        <v>43035</v>
      </c>
      <c r="M22" s="385">
        <f>(M17+M18)*M21</f>
        <v>28750</v>
      </c>
      <c r="N22" s="384">
        <f>(N17+N18+N19+N20)*N21</f>
        <v>13875</v>
      </c>
      <c r="O22" s="385">
        <f>(O17+O18+O20)*O21</f>
        <v>30000</v>
      </c>
    </row>
    <row r="23" spans="1:20">
      <c r="A23" s="1812" t="s">
        <v>65</v>
      </c>
      <c r="B23" s="1813"/>
      <c r="C23" s="1221"/>
      <c r="D23" s="1221"/>
      <c r="E23" s="1226"/>
      <c r="F23" s="1228"/>
      <c r="G23" s="1229"/>
      <c r="H23" s="387">
        <v>0.125</v>
      </c>
      <c r="I23" s="387">
        <v>0.125</v>
      </c>
      <c r="J23" s="387"/>
      <c r="K23" s="387"/>
      <c r="L23" s="387">
        <v>0.125</v>
      </c>
      <c r="M23" s="387">
        <v>0.125</v>
      </c>
      <c r="N23" s="387">
        <v>0.125</v>
      </c>
      <c r="O23" s="387">
        <v>0.125</v>
      </c>
    </row>
    <row r="24" spans="1:20" ht="12.95" customHeight="1">
      <c r="A24" s="1220"/>
      <c r="B24" s="1221" t="s">
        <v>66</v>
      </c>
      <c r="C24" s="1221"/>
      <c r="D24" s="1221"/>
      <c r="E24" s="1226"/>
      <c r="F24" s="1228"/>
      <c r="G24" s="1229"/>
      <c r="H24" s="384">
        <f>(H22+H18+H19+H20+H17)*H23</f>
        <v>109687.5</v>
      </c>
      <c r="I24" s="385">
        <f>(I22+I18+I20+I17)*I23</f>
        <v>95625</v>
      </c>
      <c r="J24" s="384">
        <f>(J22+J18+J19+J20+J17)*J23</f>
        <v>0</v>
      </c>
      <c r="K24" s="385">
        <f>(K22+K18+K20+K17)*K23</f>
        <v>0</v>
      </c>
      <c r="L24" s="384">
        <f>(L22+L18+L19+L20+L17)*L23</f>
        <v>48414.375</v>
      </c>
      <c r="M24" s="385">
        <f>(M22+M18+M20+M17)*M23</f>
        <v>32343.75</v>
      </c>
      <c r="N24" s="384">
        <f>(N22+N18+N19+N20+N17)*N23</f>
        <v>15609.375</v>
      </c>
      <c r="O24" s="385">
        <f>(O22+O18+O20+O17)*O23</f>
        <v>33750</v>
      </c>
    </row>
    <row r="25" spans="1:20" ht="12.95" customHeight="1">
      <c r="A25" s="1220" t="s">
        <v>67</v>
      </c>
      <c r="B25" s="1221"/>
      <c r="C25" s="1221"/>
      <c r="D25" s="1221"/>
      <c r="E25" s="1226"/>
      <c r="F25" s="1228"/>
      <c r="G25" s="1229"/>
      <c r="H25" s="387"/>
      <c r="I25" s="387"/>
      <c r="J25" s="387">
        <v>0.02</v>
      </c>
      <c r="K25" s="387">
        <v>0.02</v>
      </c>
      <c r="L25" s="387"/>
      <c r="M25" s="387"/>
      <c r="N25" s="387"/>
      <c r="O25" s="387"/>
    </row>
    <row r="26" spans="1:20" ht="12.95" customHeight="1">
      <c r="A26" s="1220"/>
      <c r="B26" s="1221" t="s">
        <v>68</v>
      </c>
      <c r="C26" s="1221"/>
      <c r="D26" s="1221"/>
      <c r="E26" s="1226"/>
      <c r="F26" s="1228"/>
      <c r="G26" s="1229"/>
      <c r="H26" s="384">
        <f>(H22+H18+H19+H20+H17)*H25</f>
        <v>0</v>
      </c>
      <c r="I26" s="385">
        <f>(I22+I18+I20+I17)*I25</f>
        <v>0</v>
      </c>
      <c r="J26" s="384">
        <f>(J22+J18+J19+J20+J17)*J25</f>
        <v>5400</v>
      </c>
      <c r="K26" s="385">
        <f>(K22+K18+K20+K17)*K25</f>
        <v>4612.5</v>
      </c>
      <c r="L26" s="384">
        <f>(L22+L18+L19+L20+L17)*L25</f>
        <v>0</v>
      </c>
      <c r="M26" s="385">
        <f>(M22+M18+M20+M17)*M25</f>
        <v>0</v>
      </c>
      <c r="N26" s="384">
        <f>(N22+N18+N19+N20+N17)*N25</f>
        <v>0</v>
      </c>
      <c r="O26" s="385">
        <f>(O22+O18+O20+O17)*O25</f>
        <v>0</v>
      </c>
    </row>
    <row r="27" spans="1:20" ht="12.95" customHeight="1">
      <c r="A27" s="1812" t="s">
        <v>1430</v>
      </c>
      <c r="B27" s="1813"/>
      <c r="C27" s="1221"/>
      <c r="D27" s="1221"/>
      <c r="E27" s="1226"/>
      <c r="F27" s="1230"/>
      <c r="G27" s="1229"/>
      <c r="H27" s="387"/>
      <c r="I27" s="388"/>
      <c r="J27" s="387"/>
      <c r="K27" s="388"/>
      <c r="L27" s="387"/>
      <c r="M27" s="388"/>
      <c r="N27" s="387"/>
      <c r="O27" s="388"/>
    </row>
    <row r="28" spans="1:20" ht="12.95" customHeight="1">
      <c r="A28" s="1231"/>
      <c r="B28" s="1232" t="s">
        <v>70</v>
      </c>
      <c r="C28" s="1232"/>
      <c r="D28" s="1232"/>
      <c r="E28" s="1233"/>
      <c r="F28" s="1234"/>
      <c r="G28" s="1235"/>
      <c r="H28" s="384">
        <f t="shared" ref="H28:O28" si="1">H17*H27</f>
        <v>0</v>
      </c>
      <c r="I28" s="385">
        <f t="shared" si="1"/>
        <v>0</v>
      </c>
      <c r="J28" s="384">
        <f t="shared" si="1"/>
        <v>0</v>
      </c>
      <c r="K28" s="385">
        <f t="shared" si="1"/>
        <v>0</v>
      </c>
      <c r="L28" s="384">
        <f t="shared" si="1"/>
        <v>0</v>
      </c>
      <c r="M28" s="385">
        <f t="shared" si="1"/>
        <v>0</v>
      </c>
      <c r="N28" s="384">
        <f t="shared" si="1"/>
        <v>0</v>
      </c>
      <c r="O28" s="385">
        <f t="shared" si="1"/>
        <v>0</v>
      </c>
    </row>
    <row r="29" spans="1:20" ht="13.5" thickBot="1">
      <c r="A29" s="1814"/>
      <c r="B29" s="1815"/>
      <c r="C29" s="1232"/>
      <c r="D29" s="1232"/>
      <c r="E29" s="1233"/>
      <c r="F29" s="1233"/>
      <c r="G29" s="391"/>
      <c r="H29" s="392"/>
      <c r="I29" s="393"/>
      <c r="J29" s="392"/>
      <c r="K29" s="393"/>
      <c r="L29" s="392"/>
      <c r="M29" s="393"/>
      <c r="N29" s="392"/>
      <c r="O29" s="393"/>
    </row>
    <row r="30" spans="1:20" ht="13.5" thickBot="1">
      <c r="A30" s="1236" t="s">
        <v>71</v>
      </c>
      <c r="B30" s="1237"/>
      <c r="C30" s="1237"/>
      <c r="D30" s="1237"/>
      <c r="E30" s="1237"/>
      <c r="F30" s="1237"/>
      <c r="G30" s="1237"/>
      <c r="H30" s="1238">
        <f t="shared" ref="H30:O30" si="2">SUM(H17:H29)</f>
        <v>987187.75</v>
      </c>
      <c r="I30" s="1239">
        <f t="shared" si="2"/>
        <v>860625.25</v>
      </c>
      <c r="J30" s="1238">
        <f t="shared" si="2"/>
        <v>275400.14500000002</v>
      </c>
      <c r="K30" s="1239">
        <f t="shared" si="2"/>
        <v>235237.64499999999</v>
      </c>
      <c r="L30" s="1238">
        <f t="shared" si="2"/>
        <v>435729.625</v>
      </c>
      <c r="M30" s="1239">
        <f t="shared" si="2"/>
        <v>291094</v>
      </c>
      <c r="N30" s="1238">
        <f t="shared" si="2"/>
        <v>140484.625</v>
      </c>
      <c r="O30" s="1239">
        <f t="shared" si="2"/>
        <v>303750.25</v>
      </c>
    </row>
    <row r="31" spans="1:20" s="1244" customFormat="1" ht="13.5" thickBot="1">
      <c r="A31" s="1240"/>
      <c r="B31" s="1241"/>
      <c r="C31" s="1241"/>
      <c r="D31" s="1241"/>
      <c r="E31" s="1241"/>
      <c r="F31" s="1241"/>
      <c r="G31" s="1241"/>
      <c r="H31" s="1242"/>
      <c r="I31" s="1243"/>
      <c r="J31" s="1242"/>
      <c r="K31" s="1243"/>
      <c r="L31" s="1242"/>
      <c r="M31" s="1243"/>
      <c r="N31" s="1242"/>
      <c r="O31" s="1243"/>
    </row>
    <row r="32" spans="1:20" s="1143" customFormat="1" ht="13.5" thickBot="1">
      <c r="A32" s="1236" t="s">
        <v>72</v>
      </c>
      <c r="B32" s="1237"/>
      <c r="C32" s="1237"/>
      <c r="D32" s="1237"/>
      <c r="E32" s="1237"/>
      <c r="F32" s="1237"/>
      <c r="G32" s="1237"/>
      <c r="H32" s="1239">
        <f>H17+H26+H18+H20+H19</f>
        <v>780000</v>
      </c>
      <c r="I32" s="1245">
        <f>I17+I26</f>
        <v>680000</v>
      </c>
      <c r="J32" s="1239">
        <f>J17+J26+J18+J20+J19</f>
        <v>245400</v>
      </c>
      <c r="K32" s="1245">
        <f>K17+K26</f>
        <v>209612.5</v>
      </c>
      <c r="L32" s="1239">
        <f>L17+L26+L18+L20+L19</f>
        <v>344280</v>
      </c>
      <c r="M32" s="1245">
        <f>M17+M26+M20</f>
        <v>230000</v>
      </c>
      <c r="N32" s="1239">
        <f>N17+N26+N18+N20+N19</f>
        <v>111000</v>
      </c>
      <c r="O32" s="1245">
        <f>O17+O26</f>
        <v>240000</v>
      </c>
    </row>
    <row r="33" spans="1:15" ht="13.5" thickBot="1">
      <c r="A33" s="1246"/>
      <c r="B33" s="1247"/>
      <c r="C33" s="1247"/>
      <c r="D33" s="1247"/>
      <c r="E33" s="1248"/>
      <c r="F33" s="1248"/>
      <c r="G33" s="397"/>
      <c r="H33" s="1249"/>
      <c r="I33" s="1250"/>
      <c r="J33" s="1249"/>
      <c r="K33" s="1250"/>
      <c r="L33" s="1249"/>
      <c r="M33" s="1250"/>
      <c r="N33" s="1249"/>
      <c r="O33" s="1250"/>
    </row>
    <row r="34" spans="1:15">
      <c r="A34" s="1251" t="s">
        <v>73</v>
      </c>
      <c r="B34" s="1252" t="s">
        <v>74</v>
      </c>
      <c r="C34" s="1253"/>
      <c r="D34" s="1253"/>
      <c r="E34" s="1254"/>
      <c r="F34" s="1254"/>
      <c r="G34" s="399"/>
      <c r="H34" s="1255" t="s">
        <v>1431</v>
      </c>
      <c r="I34" s="1256" t="s">
        <v>390</v>
      </c>
      <c r="J34" s="1256" t="s">
        <v>390</v>
      </c>
      <c r="K34" s="1256" t="s">
        <v>390</v>
      </c>
      <c r="L34" s="1256" t="s">
        <v>1548</v>
      </c>
      <c r="M34" s="1256" t="s">
        <v>1549</v>
      </c>
      <c r="N34" s="1256" t="s">
        <v>390</v>
      </c>
      <c r="O34" s="1257" t="s">
        <v>390</v>
      </c>
    </row>
    <row r="35" spans="1:15" ht="13.5" thickBot="1">
      <c r="A35" s="1258" t="s">
        <v>79</v>
      </c>
      <c r="B35" s="1259" t="s">
        <v>80</v>
      </c>
      <c r="C35" s="1260"/>
      <c r="D35" s="1260"/>
      <c r="E35" s="1261"/>
      <c r="F35" s="1261"/>
      <c r="G35" s="401"/>
      <c r="H35" s="1255" t="s">
        <v>165</v>
      </c>
      <c r="I35" s="1262" t="s">
        <v>82</v>
      </c>
      <c r="J35" s="1256" t="s">
        <v>165</v>
      </c>
      <c r="K35" s="1262" t="s">
        <v>82</v>
      </c>
      <c r="L35" s="1256" t="s">
        <v>165</v>
      </c>
      <c r="M35" s="1262" t="s">
        <v>1550</v>
      </c>
      <c r="N35" s="1256" t="s">
        <v>165</v>
      </c>
      <c r="O35" s="1263" t="s">
        <v>82</v>
      </c>
    </row>
    <row r="36" spans="1:15" ht="255">
      <c r="A36" s="1264" t="s">
        <v>85</v>
      </c>
      <c r="B36" s="1265" t="s">
        <v>86</v>
      </c>
      <c r="C36" s="1265"/>
      <c r="D36" s="1265"/>
      <c r="E36" s="1266"/>
      <c r="F36" s="1266"/>
      <c r="G36" s="402"/>
      <c r="H36" s="1267" t="s">
        <v>1433</v>
      </c>
      <c r="I36" s="1267" t="s">
        <v>1434</v>
      </c>
      <c r="J36" s="1267" t="s">
        <v>1439</v>
      </c>
      <c r="K36" s="1267" t="s">
        <v>1551</v>
      </c>
      <c r="L36" s="1267" t="s">
        <v>1437</v>
      </c>
      <c r="M36" s="1267" t="s">
        <v>1438</v>
      </c>
      <c r="N36" s="1267" t="s">
        <v>1439</v>
      </c>
      <c r="O36" s="1268" t="s">
        <v>1434</v>
      </c>
    </row>
    <row r="37" spans="1:15">
      <c r="A37" s="1269" t="s">
        <v>90</v>
      </c>
      <c r="B37" s="1266" t="s">
        <v>91</v>
      </c>
      <c r="C37" s="1266"/>
      <c r="D37" s="1266"/>
      <c r="E37" s="1266"/>
      <c r="F37" s="1266"/>
      <c r="G37" s="402"/>
      <c r="H37" s="1267" t="s">
        <v>92</v>
      </c>
      <c r="I37" s="1270" t="s">
        <v>1440</v>
      </c>
      <c r="J37" s="1267" t="s">
        <v>92</v>
      </c>
      <c r="K37" s="1270" t="s">
        <v>1440</v>
      </c>
      <c r="L37" s="1267" t="s">
        <v>92</v>
      </c>
      <c r="M37" s="1270" t="s">
        <v>332</v>
      </c>
      <c r="N37" s="1267" t="s">
        <v>92</v>
      </c>
      <c r="O37" s="1271" t="s">
        <v>1440</v>
      </c>
    </row>
    <row r="38" spans="1:15" ht="39.950000000000003" customHeight="1">
      <c r="A38" s="1269" t="s">
        <v>93</v>
      </c>
      <c r="B38" s="1265" t="s">
        <v>94</v>
      </c>
      <c r="C38" s="1265"/>
      <c r="D38" s="1265"/>
      <c r="E38" s="1266"/>
      <c r="F38" s="1266"/>
      <c r="G38" s="402"/>
      <c r="H38" s="1272"/>
      <c r="I38" s="1273"/>
      <c r="J38" s="1272"/>
      <c r="K38" s="1273"/>
      <c r="L38" s="1272"/>
      <c r="M38" s="1273"/>
      <c r="N38" s="1272"/>
      <c r="O38" s="1274"/>
    </row>
    <row r="39" spans="1:15" ht="63.75">
      <c r="A39" s="1269" t="s">
        <v>95</v>
      </c>
      <c r="B39" s="1265" t="s">
        <v>96</v>
      </c>
      <c r="C39" s="1265"/>
      <c r="D39" s="1265"/>
      <c r="E39" s="1266"/>
      <c r="F39" s="1266"/>
      <c r="G39" s="402"/>
      <c r="H39" s="1267" t="s">
        <v>97</v>
      </c>
      <c r="I39" s="1267" t="s">
        <v>97</v>
      </c>
      <c r="J39" s="1267" t="s">
        <v>97</v>
      </c>
      <c r="K39" s="1267" t="s">
        <v>97</v>
      </c>
      <c r="L39" s="1267" t="s">
        <v>97</v>
      </c>
      <c r="M39" s="1267" t="s">
        <v>97</v>
      </c>
      <c r="N39" s="1267" t="s">
        <v>97</v>
      </c>
      <c r="O39" s="1268" t="s">
        <v>97</v>
      </c>
    </row>
    <row r="40" spans="1:15" ht="51.75" thickBot="1">
      <c r="A40" s="1275" t="s">
        <v>99</v>
      </c>
      <c r="B40" s="1276" t="s">
        <v>100</v>
      </c>
      <c r="C40" s="1276"/>
      <c r="D40" s="1276"/>
      <c r="E40" s="1277"/>
      <c r="F40" s="1277"/>
      <c r="G40" s="403"/>
      <c r="H40" s="1278" t="s">
        <v>101</v>
      </c>
      <c r="I40" s="1278" t="s">
        <v>101</v>
      </c>
      <c r="J40" s="1278" t="s">
        <v>101</v>
      </c>
      <c r="K40" s="1278" t="s">
        <v>101</v>
      </c>
      <c r="L40" s="1278" t="s">
        <v>101</v>
      </c>
      <c r="M40" s="1278" t="s">
        <v>101</v>
      </c>
      <c r="N40" s="1278" t="s">
        <v>101</v>
      </c>
      <c r="O40" s="1279" t="s">
        <v>101</v>
      </c>
    </row>
    <row r="41" spans="1:15" ht="30" customHeight="1">
      <c r="A41" s="1816" t="s">
        <v>102</v>
      </c>
      <c r="B41" s="1817"/>
      <c r="C41" s="1817"/>
      <c r="D41" s="1817"/>
      <c r="E41" s="1817"/>
      <c r="F41" s="1806" t="s">
        <v>103</v>
      </c>
      <c r="G41" s="1807"/>
      <c r="H41" s="1807"/>
      <c r="I41" s="1807"/>
      <c r="J41" s="1280"/>
      <c r="K41" s="1280"/>
      <c r="L41" s="1280"/>
      <c r="M41" s="1280"/>
      <c r="N41" s="1280"/>
      <c r="O41" s="1281"/>
    </row>
    <row r="42" spans="1:15" ht="13.5" thickBot="1">
      <c r="A42" s="1816"/>
      <c r="B42" s="1817"/>
      <c r="C42" s="1817"/>
      <c r="D42" s="1817"/>
      <c r="E42" s="1817"/>
      <c r="F42" s="1808"/>
      <c r="G42" s="1809"/>
      <c r="H42" s="1809"/>
      <c r="I42" s="1809"/>
      <c r="J42" s="1282"/>
      <c r="K42" s="1282"/>
      <c r="L42" s="1282"/>
      <c r="M42" s="1282"/>
      <c r="N42" s="1282"/>
      <c r="O42" s="1283"/>
    </row>
    <row r="43" spans="1:15">
      <c r="A43" s="1249"/>
      <c r="B43" s="1284"/>
      <c r="C43" s="1284"/>
      <c r="D43" s="1284"/>
      <c r="E43" s="1285"/>
      <c r="F43" s="1249"/>
      <c r="G43" s="406"/>
      <c r="H43" s="1285"/>
      <c r="I43" s="1285"/>
      <c r="J43" s="1285"/>
      <c r="K43" s="1285"/>
      <c r="L43" s="1285"/>
      <c r="M43" s="1285"/>
      <c r="N43" s="1285"/>
      <c r="O43" s="1286"/>
    </row>
    <row r="44" spans="1:15">
      <c r="A44" s="1287"/>
      <c r="B44" s="1288"/>
      <c r="C44" s="1288"/>
      <c r="D44" s="1288"/>
      <c r="E44" s="1176"/>
      <c r="F44" s="1287"/>
      <c r="G44" s="407"/>
      <c r="H44" s="1176"/>
      <c r="I44" s="1176"/>
      <c r="J44" s="1176"/>
      <c r="K44" s="1176"/>
      <c r="L44" s="1176"/>
      <c r="M44" s="1176"/>
      <c r="N44" s="1176"/>
      <c r="O44" s="1289"/>
    </row>
    <row r="45" spans="1:15">
      <c r="A45" s="1287"/>
      <c r="B45" s="1164" t="s">
        <v>105</v>
      </c>
      <c r="C45" s="1164"/>
      <c r="D45" s="1164"/>
      <c r="E45" s="1165"/>
      <c r="F45" s="1290"/>
      <c r="G45" s="1165" t="s">
        <v>106</v>
      </c>
      <c r="H45" s="1176"/>
      <c r="I45" s="1165"/>
      <c r="J45" s="1176"/>
      <c r="K45" s="1165"/>
      <c r="L45" s="1176"/>
      <c r="M45" s="1165"/>
      <c r="N45" s="1165"/>
      <c r="O45" s="1289"/>
    </row>
    <row r="46" spans="1:15" ht="13.5" thickBot="1">
      <c r="A46" s="1291"/>
      <c r="B46" s="1292"/>
      <c r="C46" s="1292"/>
      <c r="D46" s="1292"/>
      <c r="E46" s="1293"/>
      <c r="F46" s="1291"/>
      <c r="G46" s="1293"/>
      <c r="H46" s="1293"/>
      <c r="I46" s="1293"/>
      <c r="J46" s="1293"/>
      <c r="K46" s="1293"/>
      <c r="L46" s="1293"/>
      <c r="M46" s="1293"/>
      <c r="N46" s="1293"/>
      <c r="O46" s="1294"/>
    </row>
    <row r="50" spans="1:20" ht="15.75">
      <c r="A50" s="1176"/>
      <c r="B50" s="1295"/>
      <c r="C50" s="1295"/>
      <c r="D50" s="1295"/>
      <c r="E50" s="1176"/>
      <c r="F50" s="1295"/>
      <c r="G50" s="1296"/>
      <c r="H50" s="1297"/>
      <c r="I50" s="1298"/>
      <c r="J50" s="1297"/>
      <c r="K50" s="1298"/>
      <c r="L50" s="1297"/>
      <c r="M50" s="1298"/>
      <c r="N50" s="1298"/>
      <c r="O50" s="1298"/>
      <c r="P50" s="1295"/>
      <c r="Q50" s="1295"/>
      <c r="R50" s="1176"/>
      <c r="S50" s="1176"/>
      <c r="T50" s="1176"/>
    </row>
    <row r="51" spans="1:20" ht="15.75">
      <c r="A51" s="1176"/>
      <c r="B51" s="1295"/>
      <c r="C51" s="1295"/>
      <c r="D51" s="1295"/>
      <c r="E51" s="1299"/>
      <c r="F51" s="1295"/>
      <c r="G51" s="1296"/>
      <c r="H51" s="1297"/>
      <c r="I51" s="1298"/>
      <c r="J51" s="1297"/>
      <c r="K51" s="1298"/>
      <c r="L51" s="1297"/>
      <c r="M51" s="1298"/>
      <c r="N51" s="1298"/>
      <c r="O51" s="1298"/>
      <c r="P51" s="1295"/>
      <c r="Q51" s="1295"/>
      <c r="R51" s="1176"/>
      <c r="S51" s="1176"/>
      <c r="T51" s="1176"/>
    </row>
    <row r="52" spans="1:20" ht="15.75">
      <c r="A52" s="1176"/>
      <c r="B52" s="1300"/>
      <c r="C52" s="1300"/>
      <c r="D52" s="1300"/>
      <c r="E52" s="1299"/>
      <c r="F52" s="1300"/>
      <c r="G52" s="1301"/>
      <c r="H52" s="1297"/>
      <c r="I52" s="1298"/>
      <c r="J52" s="1297"/>
      <c r="K52" s="1298"/>
      <c r="L52" s="1297"/>
      <c r="M52" s="1298"/>
      <c r="N52" s="1298"/>
      <c r="O52" s="1298"/>
      <c r="P52" s="1295"/>
      <c r="Q52" s="1295"/>
      <c r="R52" s="1176"/>
      <c r="S52" s="1176"/>
      <c r="T52" s="1176"/>
    </row>
  </sheetData>
  <mergeCells count="34">
    <mergeCell ref="L4:M5"/>
    <mergeCell ref="A2:I2"/>
    <mergeCell ref="A3:I3"/>
    <mergeCell ref="G4:G5"/>
    <mergeCell ref="H4:I5"/>
    <mergeCell ref="J4:K5"/>
    <mergeCell ref="A7:A12"/>
    <mergeCell ref="B7:B12"/>
    <mergeCell ref="E7:E12"/>
    <mergeCell ref="F7:F12"/>
    <mergeCell ref="G7:G12"/>
    <mergeCell ref="J7:K7"/>
    <mergeCell ref="L7:M7"/>
    <mergeCell ref="N7:O7"/>
    <mergeCell ref="H8:I9"/>
    <mergeCell ref="J8:K9"/>
    <mergeCell ref="L8:M9"/>
    <mergeCell ref="N8:O9"/>
    <mergeCell ref="H7:I7"/>
    <mergeCell ref="J10:K10"/>
    <mergeCell ref="L10:M10"/>
    <mergeCell ref="N10:O10"/>
    <mergeCell ref="H11:I11"/>
    <mergeCell ref="J11:K11"/>
    <mergeCell ref="L11:M11"/>
    <mergeCell ref="N11:O11"/>
    <mergeCell ref="H10:I10"/>
    <mergeCell ref="F41:I42"/>
    <mergeCell ref="A18:B18"/>
    <mergeCell ref="A20:B20"/>
    <mergeCell ref="A23:B23"/>
    <mergeCell ref="A27:B27"/>
    <mergeCell ref="A29:B29"/>
    <mergeCell ref="A41:E42"/>
  </mergeCells>
  <pageMargins left="0.25" right="0.25" top="0.75" bottom="0.75" header="0.3" footer="0.3"/>
  <pageSetup scale="5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8"/>
  <sheetViews>
    <sheetView topLeftCell="C4" zoomScaleNormal="100" workbookViewId="0">
      <selection activeCell="N20" sqref="N20"/>
    </sheetView>
  </sheetViews>
  <sheetFormatPr defaultRowHeight="12.75"/>
  <cols>
    <col min="1" max="1" width="6.140625" style="956" customWidth="1"/>
    <col min="2" max="2" width="48.85546875" style="973" customWidth="1"/>
    <col min="3" max="3" width="11" style="956" customWidth="1"/>
    <col min="4" max="4" width="9.85546875" style="973" customWidth="1"/>
    <col min="5" max="5" width="6.140625" style="956" customWidth="1"/>
    <col min="6" max="6" width="10.28515625" style="956" customWidth="1"/>
    <col min="7" max="7" width="15.85546875" style="956" customWidth="1"/>
    <col min="8" max="8" width="14.42578125" style="956" customWidth="1"/>
    <col min="9" max="9" width="20.5703125" style="956" customWidth="1"/>
    <col min="10" max="10" width="11.85546875" style="956" customWidth="1"/>
    <col min="11" max="11" width="17.5703125" style="956" customWidth="1"/>
    <col min="12" max="14" width="11.7109375" style="956" customWidth="1"/>
    <col min="15" max="15" width="12.42578125" style="956" bestFit="1" customWidth="1"/>
    <col min="16" max="16" width="11.140625" style="956" bestFit="1" customWidth="1"/>
    <col min="17" max="17" width="12.42578125" style="956" hidden="1" customWidth="1"/>
    <col min="18" max="18" width="14.28515625" style="956" hidden="1" customWidth="1"/>
    <col min="19" max="19" width="11.85546875" style="956" bestFit="1" customWidth="1"/>
    <col min="20" max="20" width="11.5703125" style="956" bestFit="1" customWidth="1"/>
    <col min="21" max="21" width="10.5703125" style="956" customWidth="1"/>
    <col min="22" max="254" width="9.140625" style="956"/>
    <col min="255" max="255" width="4" style="956" customWidth="1"/>
    <col min="256" max="256" width="30.7109375" style="956" customWidth="1"/>
    <col min="257" max="258" width="10" style="956" customWidth="1"/>
    <col min="259" max="259" width="9.85546875" style="956" customWidth="1"/>
    <col min="260" max="260" width="12.42578125" style="956" customWidth="1"/>
    <col min="261" max="266" width="12.7109375" style="956" customWidth="1"/>
    <col min="267" max="267" width="13" style="956" customWidth="1"/>
    <col min="268" max="269" width="12.7109375" style="956" customWidth="1"/>
    <col min="270" max="270" width="9.140625" style="956"/>
    <col min="271" max="271" width="11.140625" style="956" bestFit="1" customWidth="1"/>
    <col min="272" max="510" width="9.140625" style="956"/>
    <col min="511" max="511" width="4" style="956" customWidth="1"/>
    <col min="512" max="512" width="30.7109375" style="956" customWidth="1"/>
    <col min="513" max="514" width="10" style="956" customWidth="1"/>
    <col min="515" max="515" width="9.85546875" style="956" customWidth="1"/>
    <col min="516" max="516" width="12.42578125" style="956" customWidth="1"/>
    <col min="517" max="522" width="12.7109375" style="956" customWidth="1"/>
    <col min="523" max="523" width="13" style="956" customWidth="1"/>
    <col min="524" max="525" width="12.7109375" style="956" customWidth="1"/>
    <col min="526" max="526" width="9.140625" style="956"/>
    <col min="527" max="527" width="11.140625" style="956" bestFit="1" customWidth="1"/>
    <col min="528" max="766" width="9.140625" style="956"/>
    <col min="767" max="767" width="4" style="956" customWidth="1"/>
    <col min="768" max="768" width="30.7109375" style="956" customWidth="1"/>
    <col min="769" max="770" width="10" style="956" customWidth="1"/>
    <col min="771" max="771" width="9.85546875" style="956" customWidth="1"/>
    <col min="772" max="772" width="12.42578125" style="956" customWidth="1"/>
    <col min="773" max="778" width="12.7109375" style="956" customWidth="1"/>
    <col min="779" max="779" width="13" style="956" customWidth="1"/>
    <col min="780" max="781" width="12.7109375" style="956" customWidth="1"/>
    <col min="782" max="782" width="9.140625" style="956"/>
    <col min="783" max="783" width="11.140625" style="956" bestFit="1" customWidth="1"/>
    <col min="784" max="1022" width="9.140625" style="956"/>
    <col min="1023" max="1023" width="4" style="956" customWidth="1"/>
    <col min="1024" max="1024" width="30.7109375" style="956" customWidth="1"/>
    <col min="1025" max="1026" width="10" style="956" customWidth="1"/>
    <col min="1027" max="1027" width="9.85546875" style="956" customWidth="1"/>
    <col min="1028" max="1028" width="12.42578125" style="956" customWidth="1"/>
    <col min="1029" max="1034" width="12.7109375" style="956" customWidth="1"/>
    <col min="1035" max="1035" width="13" style="956" customWidth="1"/>
    <col min="1036" max="1037" width="12.7109375" style="956" customWidth="1"/>
    <col min="1038" max="1038" width="9.140625" style="956"/>
    <col min="1039" max="1039" width="11.140625" style="956" bestFit="1" customWidth="1"/>
    <col min="1040" max="1278" width="9.140625" style="956"/>
    <col min="1279" max="1279" width="4" style="956" customWidth="1"/>
    <col min="1280" max="1280" width="30.7109375" style="956" customWidth="1"/>
    <col min="1281" max="1282" width="10" style="956" customWidth="1"/>
    <col min="1283" max="1283" width="9.85546875" style="956" customWidth="1"/>
    <col min="1284" max="1284" width="12.42578125" style="956" customWidth="1"/>
    <col min="1285" max="1290" width="12.7109375" style="956" customWidth="1"/>
    <col min="1291" max="1291" width="13" style="956" customWidth="1"/>
    <col min="1292" max="1293" width="12.7109375" style="956" customWidth="1"/>
    <col min="1294" max="1294" width="9.140625" style="956"/>
    <col min="1295" max="1295" width="11.140625" style="956" bestFit="1" customWidth="1"/>
    <col min="1296" max="1534" width="9.140625" style="956"/>
    <col min="1535" max="1535" width="4" style="956" customWidth="1"/>
    <col min="1536" max="1536" width="30.7109375" style="956" customWidth="1"/>
    <col min="1537" max="1538" width="10" style="956" customWidth="1"/>
    <col min="1539" max="1539" width="9.85546875" style="956" customWidth="1"/>
    <col min="1540" max="1540" width="12.42578125" style="956" customWidth="1"/>
    <col min="1541" max="1546" width="12.7109375" style="956" customWidth="1"/>
    <col min="1547" max="1547" width="13" style="956" customWidth="1"/>
    <col min="1548" max="1549" width="12.7109375" style="956" customWidth="1"/>
    <col min="1550" max="1550" width="9.140625" style="956"/>
    <col min="1551" max="1551" width="11.140625" style="956" bestFit="1" customWidth="1"/>
    <col min="1552" max="1790" width="9.140625" style="956"/>
    <col min="1791" max="1791" width="4" style="956" customWidth="1"/>
    <col min="1792" max="1792" width="30.7109375" style="956" customWidth="1"/>
    <col min="1793" max="1794" width="10" style="956" customWidth="1"/>
    <col min="1795" max="1795" width="9.85546875" style="956" customWidth="1"/>
    <col min="1796" max="1796" width="12.42578125" style="956" customWidth="1"/>
    <col min="1797" max="1802" width="12.7109375" style="956" customWidth="1"/>
    <col min="1803" max="1803" width="13" style="956" customWidth="1"/>
    <col min="1804" max="1805" width="12.7109375" style="956" customWidth="1"/>
    <col min="1806" max="1806" width="9.140625" style="956"/>
    <col min="1807" max="1807" width="11.140625" style="956" bestFit="1" customWidth="1"/>
    <col min="1808" max="2046" width="9.140625" style="956"/>
    <col min="2047" max="2047" width="4" style="956" customWidth="1"/>
    <col min="2048" max="2048" width="30.7109375" style="956" customWidth="1"/>
    <col min="2049" max="2050" width="10" style="956" customWidth="1"/>
    <col min="2051" max="2051" width="9.85546875" style="956" customWidth="1"/>
    <col min="2052" max="2052" width="12.42578125" style="956" customWidth="1"/>
    <col min="2053" max="2058" width="12.7109375" style="956" customWidth="1"/>
    <col min="2059" max="2059" width="13" style="956" customWidth="1"/>
    <col min="2060" max="2061" width="12.7109375" style="956" customWidth="1"/>
    <col min="2062" max="2062" width="9.140625" style="956"/>
    <col min="2063" max="2063" width="11.140625" style="956" bestFit="1" customWidth="1"/>
    <col min="2064" max="2302" width="9.140625" style="956"/>
    <col min="2303" max="2303" width="4" style="956" customWidth="1"/>
    <col min="2304" max="2304" width="30.7109375" style="956" customWidth="1"/>
    <col min="2305" max="2306" width="10" style="956" customWidth="1"/>
    <col min="2307" max="2307" width="9.85546875" style="956" customWidth="1"/>
    <col min="2308" max="2308" width="12.42578125" style="956" customWidth="1"/>
    <col min="2309" max="2314" width="12.7109375" style="956" customWidth="1"/>
    <col min="2315" max="2315" width="13" style="956" customWidth="1"/>
    <col min="2316" max="2317" width="12.7109375" style="956" customWidth="1"/>
    <col min="2318" max="2318" width="9.140625" style="956"/>
    <col min="2319" max="2319" width="11.140625" style="956" bestFit="1" customWidth="1"/>
    <col min="2320" max="2558" width="9.140625" style="956"/>
    <col min="2559" max="2559" width="4" style="956" customWidth="1"/>
    <col min="2560" max="2560" width="30.7109375" style="956" customWidth="1"/>
    <col min="2561" max="2562" width="10" style="956" customWidth="1"/>
    <col min="2563" max="2563" width="9.85546875" style="956" customWidth="1"/>
    <col min="2564" max="2564" width="12.42578125" style="956" customWidth="1"/>
    <col min="2565" max="2570" width="12.7109375" style="956" customWidth="1"/>
    <col min="2571" max="2571" width="13" style="956" customWidth="1"/>
    <col min="2572" max="2573" width="12.7109375" style="956" customWidth="1"/>
    <col min="2574" max="2574" width="9.140625" style="956"/>
    <col min="2575" max="2575" width="11.140625" style="956" bestFit="1" customWidth="1"/>
    <col min="2576" max="2814" width="9.140625" style="956"/>
    <col min="2815" max="2815" width="4" style="956" customWidth="1"/>
    <col min="2816" max="2816" width="30.7109375" style="956" customWidth="1"/>
    <col min="2817" max="2818" width="10" style="956" customWidth="1"/>
    <col min="2819" max="2819" width="9.85546875" style="956" customWidth="1"/>
    <col min="2820" max="2820" width="12.42578125" style="956" customWidth="1"/>
    <col min="2821" max="2826" width="12.7109375" style="956" customWidth="1"/>
    <col min="2827" max="2827" width="13" style="956" customWidth="1"/>
    <col min="2828" max="2829" width="12.7109375" style="956" customWidth="1"/>
    <col min="2830" max="2830" width="9.140625" style="956"/>
    <col min="2831" max="2831" width="11.140625" style="956" bestFit="1" customWidth="1"/>
    <col min="2832" max="3070" width="9.140625" style="956"/>
    <col min="3071" max="3071" width="4" style="956" customWidth="1"/>
    <col min="3072" max="3072" width="30.7109375" style="956" customWidth="1"/>
    <col min="3073" max="3074" width="10" style="956" customWidth="1"/>
    <col min="3075" max="3075" width="9.85546875" style="956" customWidth="1"/>
    <col min="3076" max="3076" width="12.42578125" style="956" customWidth="1"/>
    <col min="3077" max="3082" width="12.7109375" style="956" customWidth="1"/>
    <col min="3083" max="3083" width="13" style="956" customWidth="1"/>
    <col min="3084" max="3085" width="12.7109375" style="956" customWidth="1"/>
    <col min="3086" max="3086" width="9.140625" style="956"/>
    <col min="3087" max="3087" width="11.140625" style="956" bestFit="1" customWidth="1"/>
    <col min="3088" max="3326" width="9.140625" style="956"/>
    <col min="3327" max="3327" width="4" style="956" customWidth="1"/>
    <col min="3328" max="3328" width="30.7109375" style="956" customWidth="1"/>
    <col min="3329" max="3330" width="10" style="956" customWidth="1"/>
    <col min="3331" max="3331" width="9.85546875" style="956" customWidth="1"/>
    <col min="3332" max="3332" width="12.42578125" style="956" customWidth="1"/>
    <col min="3333" max="3338" width="12.7109375" style="956" customWidth="1"/>
    <col min="3339" max="3339" width="13" style="956" customWidth="1"/>
    <col min="3340" max="3341" width="12.7109375" style="956" customWidth="1"/>
    <col min="3342" max="3342" width="9.140625" style="956"/>
    <col min="3343" max="3343" width="11.140625" style="956" bestFit="1" customWidth="1"/>
    <col min="3344" max="3582" width="9.140625" style="956"/>
    <col min="3583" max="3583" width="4" style="956" customWidth="1"/>
    <col min="3584" max="3584" width="30.7109375" style="956" customWidth="1"/>
    <col min="3585" max="3586" width="10" style="956" customWidth="1"/>
    <col min="3587" max="3587" width="9.85546875" style="956" customWidth="1"/>
    <col min="3588" max="3588" width="12.42578125" style="956" customWidth="1"/>
    <col min="3589" max="3594" width="12.7109375" style="956" customWidth="1"/>
    <col min="3595" max="3595" width="13" style="956" customWidth="1"/>
    <col min="3596" max="3597" width="12.7109375" style="956" customWidth="1"/>
    <col min="3598" max="3598" width="9.140625" style="956"/>
    <col min="3599" max="3599" width="11.140625" style="956" bestFit="1" customWidth="1"/>
    <col min="3600" max="3838" width="9.140625" style="956"/>
    <col min="3839" max="3839" width="4" style="956" customWidth="1"/>
    <col min="3840" max="3840" width="30.7109375" style="956" customWidth="1"/>
    <col min="3841" max="3842" width="10" style="956" customWidth="1"/>
    <col min="3843" max="3843" width="9.85546875" style="956" customWidth="1"/>
    <col min="3844" max="3844" width="12.42578125" style="956" customWidth="1"/>
    <col min="3845" max="3850" width="12.7109375" style="956" customWidth="1"/>
    <col min="3851" max="3851" width="13" style="956" customWidth="1"/>
    <col min="3852" max="3853" width="12.7109375" style="956" customWidth="1"/>
    <col min="3854" max="3854" width="9.140625" style="956"/>
    <col min="3855" max="3855" width="11.140625" style="956" bestFit="1" customWidth="1"/>
    <col min="3856" max="4094" width="9.140625" style="956"/>
    <col min="4095" max="4095" width="4" style="956" customWidth="1"/>
    <col min="4096" max="4096" width="30.7109375" style="956" customWidth="1"/>
    <col min="4097" max="4098" width="10" style="956" customWidth="1"/>
    <col min="4099" max="4099" width="9.85546875" style="956" customWidth="1"/>
    <col min="4100" max="4100" width="12.42578125" style="956" customWidth="1"/>
    <col min="4101" max="4106" width="12.7109375" style="956" customWidth="1"/>
    <col min="4107" max="4107" width="13" style="956" customWidth="1"/>
    <col min="4108" max="4109" width="12.7109375" style="956" customWidth="1"/>
    <col min="4110" max="4110" width="9.140625" style="956"/>
    <col min="4111" max="4111" width="11.140625" style="956" bestFit="1" customWidth="1"/>
    <col min="4112" max="4350" width="9.140625" style="956"/>
    <col min="4351" max="4351" width="4" style="956" customWidth="1"/>
    <col min="4352" max="4352" width="30.7109375" style="956" customWidth="1"/>
    <col min="4353" max="4354" width="10" style="956" customWidth="1"/>
    <col min="4355" max="4355" width="9.85546875" style="956" customWidth="1"/>
    <col min="4356" max="4356" width="12.42578125" style="956" customWidth="1"/>
    <col min="4357" max="4362" width="12.7109375" style="956" customWidth="1"/>
    <col min="4363" max="4363" width="13" style="956" customWidth="1"/>
    <col min="4364" max="4365" width="12.7109375" style="956" customWidth="1"/>
    <col min="4366" max="4366" width="9.140625" style="956"/>
    <col min="4367" max="4367" width="11.140625" style="956" bestFit="1" customWidth="1"/>
    <col min="4368" max="4606" width="9.140625" style="956"/>
    <col min="4607" max="4607" width="4" style="956" customWidth="1"/>
    <col min="4608" max="4608" width="30.7109375" style="956" customWidth="1"/>
    <col min="4609" max="4610" width="10" style="956" customWidth="1"/>
    <col min="4611" max="4611" width="9.85546875" style="956" customWidth="1"/>
    <col min="4612" max="4612" width="12.42578125" style="956" customWidth="1"/>
    <col min="4613" max="4618" width="12.7109375" style="956" customWidth="1"/>
    <col min="4619" max="4619" width="13" style="956" customWidth="1"/>
    <col min="4620" max="4621" width="12.7109375" style="956" customWidth="1"/>
    <col min="4622" max="4622" width="9.140625" style="956"/>
    <col min="4623" max="4623" width="11.140625" style="956" bestFit="1" customWidth="1"/>
    <col min="4624" max="4862" width="9.140625" style="956"/>
    <col min="4863" max="4863" width="4" style="956" customWidth="1"/>
    <col min="4864" max="4864" width="30.7109375" style="956" customWidth="1"/>
    <col min="4865" max="4866" width="10" style="956" customWidth="1"/>
    <col min="4867" max="4867" width="9.85546875" style="956" customWidth="1"/>
    <col min="4868" max="4868" width="12.42578125" style="956" customWidth="1"/>
    <col min="4869" max="4874" width="12.7109375" style="956" customWidth="1"/>
    <col min="4875" max="4875" width="13" style="956" customWidth="1"/>
    <col min="4876" max="4877" width="12.7109375" style="956" customWidth="1"/>
    <col min="4878" max="4878" width="9.140625" style="956"/>
    <col min="4879" max="4879" width="11.140625" style="956" bestFit="1" customWidth="1"/>
    <col min="4880" max="5118" width="9.140625" style="956"/>
    <col min="5119" max="5119" width="4" style="956" customWidth="1"/>
    <col min="5120" max="5120" width="30.7109375" style="956" customWidth="1"/>
    <col min="5121" max="5122" width="10" style="956" customWidth="1"/>
    <col min="5123" max="5123" width="9.85546875" style="956" customWidth="1"/>
    <col min="5124" max="5124" width="12.42578125" style="956" customWidth="1"/>
    <col min="5125" max="5130" width="12.7109375" style="956" customWidth="1"/>
    <col min="5131" max="5131" width="13" style="956" customWidth="1"/>
    <col min="5132" max="5133" width="12.7109375" style="956" customWidth="1"/>
    <col min="5134" max="5134" width="9.140625" style="956"/>
    <col min="5135" max="5135" width="11.140625" style="956" bestFit="1" customWidth="1"/>
    <col min="5136" max="5374" width="9.140625" style="956"/>
    <col min="5375" max="5375" width="4" style="956" customWidth="1"/>
    <col min="5376" max="5376" width="30.7109375" style="956" customWidth="1"/>
    <col min="5377" max="5378" width="10" style="956" customWidth="1"/>
    <col min="5379" max="5379" width="9.85546875" style="956" customWidth="1"/>
    <col min="5380" max="5380" width="12.42578125" style="956" customWidth="1"/>
    <col min="5381" max="5386" width="12.7109375" style="956" customWidth="1"/>
    <col min="5387" max="5387" width="13" style="956" customWidth="1"/>
    <col min="5388" max="5389" width="12.7109375" style="956" customWidth="1"/>
    <col min="5390" max="5390" width="9.140625" style="956"/>
    <col min="5391" max="5391" width="11.140625" style="956" bestFit="1" customWidth="1"/>
    <col min="5392" max="5630" width="9.140625" style="956"/>
    <col min="5631" max="5631" width="4" style="956" customWidth="1"/>
    <col min="5632" max="5632" width="30.7109375" style="956" customWidth="1"/>
    <col min="5633" max="5634" width="10" style="956" customWidth="1"/>
    <col min="5635" max="5635" width="9.85546875" style="956" customWidth="1"/>
    <col min="5636" max="5636" width="12.42578125" style="956" customWidth="1"/>
    <col min="5637" max="5642" width="12.7109375" style="956" customWidth="1"/>
    <col min="5643" max="5643" width="13" style="956" customWidth="1"/>
    <col min="5644" max="5645" width="12.7109375" style="956" customWidth="1"/>
    <col min="5646" max="5646" width="9.140625" style="956"/>
    <col min="5647" max="5647" width="11.140625" style="956" bestFit="1" customWidth="1"/>
    <col min="5648" max="5886" width="9.140625" style="956"/>
    <col min="5887" max="5887" width="4" style="956" customWidth="1"/>
    <col min="5888" max="5888" width="30.7109375" style="956" customWidth="1"/>
    <col min="5889" max="5890" width="10" style="956" customWidth="1"/>
    <col min="5891" max="5891" width="9.85546875" style="956" customWidth="1"/>
    <col min="5892" max="5892" width="12.42578125" style="956" customWidth="1"/>
    <col min="5893" max="5898" width="12.7109375" style="956" customWidth="1"/>
    <col min="5899" max="5899" width="13" style="956" customWidth="1"/>
    <col min="5900" max="5901" width="12.7109375" style="956" customWidth="1"/>
    <col min="5902" max="5902" width="9.140625" style="956"/>
    <col min="5903" max="5903" width="11.140625" style="956" bestFit="1" customWidth="1"/>
    <col min="5904" max="6142" width="9.140625" style="956"/>
    <col min="6143" max="6143" width="4" style="956" customWidth="1"/>
    <col min="6144" max="6144" width="30.7109375" style="956" customWidth="1"/>
    <col min="6145" max="6146" width="10" style="956" customWidth="1"/>
    <col min="6147" max="6147" width="9.85546875" style="956" customWidth="1"/>
    <col min="6148" max="6148" width="12.42578125" style="956" customWidth="1"/>
    <col min="6149" max="6154" width="12.7109375" style="956" customWidth="1"/>
    <col min="6155" max="6155" width="13" style="956" customWidth="1"/>
    <col min="6156" max="6157" width="12.7109375" style="956" customWidth="1"/>
    <col min="6158" max="6158" width="9.140625" style="956"/>
    <col min="6159" max="6159" width="11.140625" style="956" bestFit="1" customWidth="1"/>
    <col min="6160" max="6398" width="9.140625" style="956"/>
    <col min="6399" max="6399" width="4" style="956" customWidth="1"/>
    <col min="6400" max="6400" width="30.7109375" style="956" customWidth="1"/>
    <col min="6401" max="6402" width="10" style="956" customWidth="1"/>
    <col min="6403" max="6403" width="9.85546875" style="956" customWidth="1"/>
    <col min="6404" max="6404" width="12.42578125" style="956" customWidth="1"/>
    <col min="6405" max="6410" width="12.7109375" style="956" customWidth="1"/>
    <col min="6411" max="6411" width="13" style="956" customWidth="1"/>
    <col min="6412" max="6413" width="12.7109375" style="956" customWidth="1"/>
    <col min="6414" max="6414" width="9.140625" style="956"/>
    <col min="6415" max="6415" width="11.140625" style="956" bestFit="1" customWidth="1"/>
    <col min="6416" max="6654" width="9.140625" style="956"/>
    <col min="6655" max="6655" width="4" style="956" customWidth="1"/>
    <col min="6656" max="6656" width="30.7109375" style="956" customWidth="1"/>
    <col min="6657" max="6658" width="10" style="956" customWidth="1"/>
    <col min="6659" max="6659" width="9.85546875" style="956" customWidth="1"/>
    <col min="6660" max="6660" width="12.42578125" style="956" customWidth="1"/>
    <col min="6661" max="6666" width="12.7109375" style="956" customWidth="1"/>
    <col min="6667" max="6667" width="13" style="956" customWidth="1"/>
    <col min="6668" max="6669" width="12.7109375" style="956" customWidth="1"/>
    <col min="6670" max="6670" width="9.140625" style="956"/>
    <col min="6671" max="6671" width="11.140625" style="956" bestFit="1" customWidth="1"/>
    <col min="6672" max="6910" width="9.140625" style="956"/>
    <col min="6911" max="6911" width="4" style="956" customWidth="1"/>
    <col min="6912" max="6912" width="30.7109375" style="956" customWidth="1"/>
    <col min="6913" max="6914" width="10" style="956" customWidth="1"/>
    <col min="6915" max="6915" width="9.85546875" style="956" customWidth="1"/>
    <col min="6916" max="6916" width="12.42578125" style="956" customWidth="1"/>
    <col min="6917" max="6922" width="12.7109375" style="956" customWidth="1"/>
    <col min="6923" max="6923" width="13" style="956" customWidth="1"/>
    <col min="6924" max="6925" width="12.7109375" style="956" customWidth="1"/>
    <col min="6926" max="6926" width="9.140625" style="956"/>
    <col min="6927" max="6927" width="11.140625" style="956" bestFit="1" customWidth="1"/>
    <col min="6928" max="7166" width="9.140625" style="956"/>
    <col min="7167" max="7167" width="4" style="956" customWidth="1"/>
    <col min="7168" max="7168" width="30.7109375" style="956" customWidth="1"/>
    <col min="7169" max="7170" width="10" style="956" customWidth="1"/>
    <col min="7171" max="7171" width="9.85546875" style="956" customWidth="1"/>
    <col min="7172" max="7172" width="12.42578125" style="956" customWidth="1"/>
    <col min="7173" max="7178" width="12.7109375" style="956" customWidth="1"/>
    <col min="7179" max="7179" width="13" style="956" customWidth="1"/>
    <col min="7180" max="7181" width="12.7109375" style="956" customWidth="1"/>
    <col min="7182" max="7182" width="9.140625" style="956"/>
    <col min="7183" max="7183" width="11.140625" style="956" bestFit="1" customWidth="1"/>
    <col min="7184" max="7422" width="9.140625" style="956"/>
    <col min="7423" max="7423" width="4" style="956" customWidth="1"/>
    <col min="7424" max="7424" width="30.7109375" style="956" customWidth="1"/>
    <col min="7425" max="7426" width="10" style="956" customWidth="1"/>
    <col min="7427" max="7427" width="9.85546875" style="956" customWidth="1"/>
    <col min="7428" max="7428" width="12.42578125" style="956" customWidth="1"/>
    <col min="7429" max="7434" width="12.7109375" style="956" customWidth="1"/>
    <col min="7435" max="7435" width="13" style="956" customWidth="1"/>
    <col min="7436" max="7437" width="12.7109375" style="956" customWidth="1"/>
    <col min="7438" max="7438" width="9.140625" style="956"/>
    <col min="7439" max="7439" width="11.140625" style="956" bestFit="1" customWidth="1"/>
    <col min="7440" max="7678" width="9.140625" style="956"/>
    <col min="7679" max="7679" width="4" style="956" customWidth="1"/>
    <col min="7680" max="7680" width="30.7109375" style="956" customWidth="1"/>
    <col min="7681" max="7682" width="10" style="956" customWidth="1"/>
    <col min="7683" max="7683" width="9.85546875" style="956" customWidth="1"/>
    <col min="7684" max="7684" width="12.42578125" style="956" customWidth="1"/>
    <col min="7685" max="7690" width="12.7109375" style="956" customWidth="1"/>
    <col min="7691" max="7691" width="13" style="956" customWidth="1"/>
    <col min="7692" max="7693" width="12.7109375" style="956" customWidth="1"/>
    <col min="7694" max="7694" width="9.140625" style="956"/>
    <col min="7695" max="7695" width="11.140625" style="956" bestFit="1" customWidth="1"/>
    <col min="7696" max="7934" width="9.140625" style="956"/>
    <col min="7935" max="7935" width="4" style="956" customWidth="1"/>
    <col min="7936" max="7936" width="30.7109375" style="956" customWidth="1"/>
    <col min="7937" max="7938" width="10" style="956" customWidth="1"/>
    <col min="7939" max="7939" width="9.85546875" style="956" customWidth="1"/>
    <col min="7940" max="7940" width="12.42578125" style="956" customWidth="1"/>
    <col min="7941" max="7946" width="12.7109375" style="956" customWidth="1"/>
    <col min="7947" max="7947" width="13" style="956" customWidth="1"/>
    <col min="7948" max="7949" width="12.7109375" style="956" customWidth="1"/>
    <col min="7950" max="7950" width="9.140625" style="956"/>
    <col min="7951" max="7951" width="11.140625" style="956" bestFit="1" customWidth="1"/>
    <col min="7952" max="8190" width="9.140625" style="956"/>
    <col min="8191" max="8191" width="4" style="956" customWidth="1"/>
    <col min="8192" max="8192" width="30.7109375" style="956" customWidth="1"/>
    <col min="8193" max="8194" width="10" style="956" customWidth="1"/>
    <col min="8195" max="8195" width="9.85546875" style="956" customWidth="1"/>
    <col min="8196" max="8196" width="12.42578125" style="956" customWidth="1"/>
    <col min="8197" max="8202" width="12.7109375" style="956" customWidth="1"/>
    <col min="8203" max="8203" width="13" style="956" customWidth="1"/>
    <col min="8204" max="8205" width="12.7109375" style="956" customWidth="1"/>
    <col min="8206" max="8206" width="9.140625" style="956"/>
    <col min="8207" max="8207" width="11.140625" style="956" bestFit="1" customWidth="1"/>
    <col min="8208" max="8446" width="9.140625" style="956"/>
    <col min="8447" max="8447" width="4" style="956" customWidth="1"/>
    <col min="8448" max="8448" width="30.7109375" style="956" customWidth="1"/>
    <col min="8449" max="8450" width="10" style="956" customWidth="1"/>
    <col min="8451" max="8451" width="9.85546875" style="956" customWidth="1"/>
    <col min="8452" max="8452" width="12.42578125" style="956" customWidth="1"/>
    <col min="8453" max="8458" width="12.7109375" style="956" customWidth="1"/>
    <col min="8459" max="8459" width="13" style="956" customWidth="1"/>
    <col min="8460" max="8461" width="12.7109375" style="956" customWidth="1"/>
    <col min="8462" max="8462" width="9.140625" style="956"/>
    <col min="8463" max="8463" width="11.140625" style="956" bestFit="1" customWidth="1"/>
    <col min="8464" max="8702" width="9.140625" style="956"/>
    <col min="8703" max="8703" width="4" style="956" customWidth="1"/>
    <col min="8704" max="8704" width="30.7109375" style="956" customWidth="1"/>
    <col min="8705" max="8706" width="10" style="956" customWidth="1"/>
    <col min="8707" max="8707" width="9.85546875" style="956" customWidth="1"/>
    <col min="8708" max="8708" width="12.42578125" style="956" customWidth="1"/>
    <col min="8709" max="8714" width="12.7109375" style="956" customWidth="1"/>
    <col min="8715" max="8715" width="13" style="956" customWidth="1"/>
    <col min="8716" max="8717" width="12.7109375" style="956" customWidth="1"/>
    <col min="8718" max="8718" width="9.140625" style="956"/>
    <col min="8719" max="8719" width="11.140625" style="956" bestFit="1" customWidth="1"/>
    <col min="8720" max="8958" width="9.140625" style="956"/>
    <col min="8959" max="8959" width="4" style="956" customWidth="1"/>
    <col min="8960" max="8960" width="30.7109375" style="956" customWidth="1"/>
    <col min="8961" max="8962" width="10" style="956" customWidth="1"/>
    <col min="8963" max="8963" width="9.85546875" style="956" customWidth="1"/>
    <col min="8964" max="8964" width="12.42578125" style="956" customWidth="1"/>
    <col min="8965" max="8970" width="12.7109375" style="956" customWidth="1"/>
    <col min="8971" max="8971" width="13" style="956" customWidth="1"/>
    <col min="8972" max="8973" width="12.7109375" style="956" customWidth="1"/>
    <col min="8974" max="8974" width="9.140625" style="956"/>
    <col min="8975" max="8975" width="11.140625" style="956" bestFit="1" customWidth="1"/>
    <col min="8976" max="9214" width="9.140625" style="956"/>
    <col min="9215" max="9215" width="4" style="956" customWidth="1"/>
    <col min="9216" max="9216" width="30.7109375" style="956" customWidth="1"/>
    <col min="9217" max="9218" width="10" style="956" customWidth="1"/>
    <col min="9219" max="9219" width="9.85546875" style="956" customWidth="1"/>
    <col min="9220" max="9220" width="12.42578125" style="956" customWidth="1"/>
    <col min="9221" max="9226" width="12.7109375" style="956" customWidth="1"/>
    <col min="9227" max="9227" width="13" style="956" customWidth="1"/>
    <col min="9228" max="9229" width="12.7109375" style="956" customWidth="1"/>
    <col min="9230" max="9230" width="9.140625" style="956"/>
    <col min="9231" max="9231" width="11.140625" style="956" bestFit="1" customWidth="1"/>
    <col min="9232" max="9470" width="9.140625" style="956"/>
    <col min="9471" max="9471" width="4" style="956" customWidth="1"/>
    <col min="9472" max="9472" width="30.7109375" style="956" customWidth="1"/>
    <col min="9473" max="9474" width="10" style="956" customWidth="1"/>
    <col min="9475" max="9475" width="9.85546875" style="956" customWidth="1"/>
    <col min="9476" max="9476" width="12.42578125" style="956" customWidth="1"/>
    <col min="9477" max="9482" width="12.7109375" style="956" customWidth="1"/>
    <col min="9483" max="9483" width="13" style="956" customWidth="1"/>
    <col min="9484" max="9485" width="12.7109375" style="956" customWidth="1"/>
    <col min="9486" max="9486" width="9.140625" style="956"/>
    <col min="9487" max="9487" width="11.140625" style="956" bestFit="1" customWidth="1"/>
    <col min="9488" max="9726" width="9.140625" style="956"/>
    <col min="9727" max="9727" width="4" style="956" customWidth="1"/>
    <col min="9728" max="9728" width="30.7109375" style="956" customWidth="1"/>
    <col min="9729" max="9730" width="10" style="956" customWidth="1"/>
    <col min="9731" max="9731" width="9.85546875" style="956" customWidth="1"/>
    <col min="9732" max="9732" width="12.42578125" style="956" customWidth="1"/>
    <col min="9733" max="9738" width="12.7109375" style="956" customWidth="1"/>
    <col min="9739" max="9739" width="13" style="956" customWidth="1"/>
    <col min="9740" max="9741" width="12.7109375" style="956" customWidth="1"/>
    <col min="9742" max="9742" width="9.140625" style="956"/>
    <col min="9743" max="9743" width="11.140625" style="956" bestFit="1" customWidth="1"/>
    <col min="9744" max="9982" width="9.140625" style="956"/>
    <col min="9983" max="9983" width="4" style="956" customWidth="1"/>
    <col min="9984" max="9984" width="30.7109375" style="956" customWidth="1"/>
    <col min="9985" max="9986" width="10" style="956" customWidth="1"/>
    <col min="9987" max="9987" width="9.85546875" style="956" customWidth="1"/>
    <col min="9988" max="9988" width="12.42578125" style="956" customWidth="1"/>
    <col min="9989" max="9994" width="12.7109375" style="956" customWidth="1"/>
    <col min="9995" max="9995" width="13" style="956" customWidth="1"/>
    <col min="9996" max="9997" width="12.7109375" style="956" customWidth="1"/>
    <col min="9998" max="9998" width="9.140625" style="956"/>
    <col min="9999" max="9999" width="11.140625" style="956" bestFit="1" customWidth="1"/>
    <col min="10000" max="10238" width="9.140625" style="956"/>
    <col min="10239" max="10239" width="4" style="956" customWidth="1"/>
    <col min="10240" max="10240" width="30.7109375" style="956" customWidth="1"/>
    <col min="10241" max="10242" width="10" style="956" customWidth="1"/>
    <col min="10243" max="10243" width="9.85546875" style="956" customWidth="1"/>
    <col min="10244" max="10244" width="12.42578125" style="956" customWidth="1"/>
    <col min="10245" max="10250" width="12.7109375" style="956" customWidth="1"/>
    <col min="10251" max="10251" width="13" style="956" customWidth="1"/>
    <col min="10252" max="10253" width="12.7109375" style="956" customWidth="1"/>
    <col min="10254" max="10254" width="9.140625" style="956"/>
    <col min="10255" max="10255" width="11.140625" style="956" bestFit="1" customWidth="1"/>
    <col min="10256" max="10494" width="9.140625" style="956"/>
    <col min="10495" max="10495" width="4" style="956" customWidth="1"/>
    <col min="10496" max="10496" width="30.7109375" style="956" customWidth="1"/>
    <col min="10497" max="10498" width="10" style="956" customWidth="1"/>
    <col min="10499" max="10499" width="9.85546875" style="956" customWidth="1"/>
    <col min="10500" max="10500" width="12.42578125" style="956" customWidth="1"/>
    <col min="10501" max="10506" width="12.7109375" style="956" customWidth="1"/>
    <col min="10507" max="10507" width="13" style="956" customWidth="1"/>
    <col min="10508" max="10509" width="12.7109375" style="956" customWidth="1"/>
    <col min="10510" max="10510" width="9.140625" style="956"/>
    <col min="10511" max="10511" width="11.140625" style="956" bestFit="1" customWidth="1"/>
    <col min="10512" max="10750" width="9.140625" style="956"/>
    <col min="10751" max="10751" width="4" style="956" customWidth="1"/>
    <col min="10752" max="10752" width="30.7109375" style="956" customWidth="1"/>
    <col min="10753" max="10754" width="10" style="956" customWidth="1"/>
    <col min="10755" max="10755" width="9.85546875" style="956" customWidth="1"/>
    <col min="10756" max="10756" width="12.42578125" style="956" customWidth="1"/>
    <col min="10757" max="10762" width="12.7109375" style="956" customWidth="1"/>
    <col min="10763" max="10763" width="13" style="956" customWidth="1"/>
    <col min="10764" max="10765" width="12.7109375" style="956" customWidth="1"/>
    <col min="10766" max="10766" width="9.140625" style="956"/>
    <col min="10767" max="10767" width="11.140625" style="956" bestFit="1" customWidth="1"/>
    <col min="10768" max="11006" width="9.140625" style="956"/>
    <col min="11007" max="11007" width="4" style="956" customWidth="1"/>
    <col min="11008" max="11008" width="30.7109375" style="956" customWidth="1"/>
    <col min="11009" max="11010" width="10" style="956" customWidth="1"/>
    <col min="11011" max="11011" width="9.85546875" style="956" customWidth="1"/>
    <col min="11012" max="11012" width="12.42578125" style="956" customWidth="1"/>
    <col min="11013" max="11018" width="12.7109375" style="956" customWidth="1"/>
    <col min="11019" max="11019" width="13" style="956" customWidth="1"/>
    <col min="11020" max="11021" width="12.7109375" style="956" customWidth="1"/>
    <col min="11022" max="11022" width="9.140625" style="956"/>
    <col min="11023" max="11023" width="11.140625" style="956" bestFit="1" customWidth="1"/>
    <col min="11024" max="11262" width="9.140625" style="956"/>
    <col min="11263" max="11263" width="4" style="956" customWidth="1"/>
    <col min="11264" max="11264" width="30.7109375" style="956" customWidth="1"/>
    <col min="11265" max="11266" width="10" style="956" customWidth="1"/>
    <col min="11267" max="11267" width="9.85546875" style="956" customWidth="1"/>
    <col min="11268" max="11268" width="12.42578125" style="956" customWidth="1"/>
    <col min="11269" max="11274" width="12.7109375" style="956" customWidth="1"/>
    <col min="11275" max="11275" width="13" style="956" customWidth="1"/>
    <col min="11276" max="11277" width="12.7109375" style="956" customWidth="1"/>
    <col min="11278" max="11278" width="9.140625" style="956"/>
    <col min="11279" max="11279" width="11.140625" style="956" bestFit="1" customWidth="1"/>
    <col min="11280" max="11518" width="9.140625" style="956"/>
    <col min="11519" max="11519" width="4" style="956" customWidth="1"/>
    <col min="11520" max="11520" width="30.7109375" style="956" customWidth="1"/>
    <col min="11521" max="11522" width="10" style="956" customWidth="1"/>
    <col min="11523" max="11523" width="9.85546875" style="956" customWidth="1"/>
    <col min="11524" max="11524" width="12.42578125" style="956" customWidth="1"/>
    <col min="11525" max="11530" width="12.7109375" style="956" customWidth="1"/>
    <col min="11531" max="11531" width="13" style="956" customWidth="1"/>
    <col min="11532" max="11533" width="12.7109375" style="956" customWidth="1"/>
    <col min="11534" max="11534" width="9.140625" style="956"/>
    <col min="11535" max="11535" width="11.140625" style="956" bestFit="1" customWidth="1"/>
    <col min="11536" max="11774" width="9.140625" style="956"/>
    <col min="11775" max="11775" width="4" style="956" customWidth="1"/>
    <col min="11776" max="11776" width="30.7109375" style="956" customWidth="1"/>
    <col min="11777" max="11778" width="10" style="956" customWidth="1"/>
    <col min="11779" max="11779" width="9.85546875" style="956" customWidth="1"/>
    <col min="11780" max="11780" width="12.42578125" style="956" customWidth="1"/>
    <col min="11781" max="11786" width="12.7109375" style="956" customWidth="1"/>
    <col min="11787" max="11787" width="13" style="956" customWidth="1"/>
    <col min="11788" max="11789" width="12.7109375" style="956" customWidth="1"/>
    <col min="11790" max="11790" width="9.140625" style="956"/>
    <col min="11791" max="11791" width="11.140625" style="956" bestFit="1" customWidth="1"/>
    <col min="11792" max="12030" width="9.140625" style="956"/>
    <col min="12031" max="12031" width="4" style="956" customWidth="1"/>
    <col min="12032" max="12032" width="30.7109375" style="956" customWidth="1"/>
    <col min="12033" max="12034" width="10" style="956" customWidth="1"/>
    <col min="12035" max="12035" width="9.85546875" style="956" customWidth="1"/>
    <col min="12036" max="12036" width="12.42578125" style="956" customWidth="1"/>
    <col min="12037" max="12042" width="12.7109375" style="956" customWidth="1"/>
    <col min="12043" max="12043" width="13" style="956" customWidth="1"/>
    <col min="12044" max="12045" width="12.7109375" style="956" customWidth="1"/>
    <col min="12046" max="12046" width="9.140625" style="956"/>
    <col min="12047" max="12047" width="11.140625" style="956" bestFit="1" customWidth="1"/>
    <col min="12048" max="12286" width="9.140625" style="956"/>
    <col min="12287" max="12287" width="4" style="956" customWidth="1"/>
    <col min="12288" max="12288" width="30.7109375" style="956" customWidth="1"/>
    <col min="12289" max="12290" width="10" style="956" customWidth="1"/>
    <col min="12291" max="12291" width="9.85546875" style="956" customWidth="1"/>
    <col min="12292" max="12292" width="12.42578125" style="956" customWidth="1"/>
    <col min="12293" max="12298" width="12.7109375" style="956" customWidth="1"/>
    <col min="12299" max="12299" width="13" style="956" customWidth="1"/>
    <col min="12300" max="12301" width="12.7109375" style="956" customWidth="1"/>
    <col min="12302" max="12302" width="9.140625" style="956"/>
    <col min="12303" max="12303" width="11.140625" style="956" bestFit="1" customWidth="1"/>
    <col min="12304" max="12542" width="9.140625" style="956"/>
    <col min="12543" max="12543" width="4" style="956" customWidth="1"/>
    <col min="12544" max="12544" width="30.7109375" style="956" customWidth="1"/>
    <col min="12545" max="12546" width="10" style="956" customWidth="1"/>
    <col min="12547" max="12547" width="9.85546875" style="956" customWidth="1"/>
    <col min="12548" max="12548" width="12.42578125" style="956" customWidth="1"/>
    <col min="12549" max="12554" width="12.7109375" style="956" customWidth="1"/>
    <col min="12555" max="12555" width="13" style="956" customWidth="1"/>
    <col min="12556" max="12557" width="12.7109375" style="956" customWidth="1"/>
    <col min="12558" max="12558" width="9.140625" style="956"/>
    <col min="12559" max="12559" width="11.140625" style="956" bestFit="1" customWidth="1"/>
    <col min="12560" max="12798" width="9.140625" style="956"/>
    <col min="12799" max="12799" width="4" style="956" customWidth="1"/>
    <col min="12800" max="12800" width="30.7109375" style="956" customWidth="1"/>
    <col min="12801" max="12802" width="10" style="956" customWidth="1"/>
    <col min="12803" max="12803" width="9.85546875" style="956" customWidth="1"/>
    <col min="12804" max="12804" width="12.42578125" style="956" customWidth="1"/>
    <col min="12805" max="12810" width="12.7109375" style="956" customWidth="1"/>
    <col min="12811" max="12811" width="13" style="956" customWidth="1"/>
    <col min="12812" max="12813" width="12.7109375" style="956" customWidth="1"/>
    <col min="12814" max="12814" width="9.140625" style="956"/>
    <col min="12815" max="12815" width="11.140625" style="956" bestFit="1" customWidth="1"/>
    <col min="12816" max="13054" width="9.140625" style="956"/>
    <col min="13055" max="13055" width="4" style="956" customWidth="1"/>
    <col min="13056" max="13056" width="30.7109375" style="956" customWidth="1"/>
    <col min="13057" max="13058" width="10" style="956" customWidth="1"/>
    <col min="13059" max="13059" width="9.85546875" style="956" customWidth="1"/>
    <col min="13060" max="13060" width="12.42578125" style="956" customWidth="1"/>
    <col min="13061" max="13066" width="12.7109375" style="956" customWidth="1"/>
    <col min="13067" max="13067" width="13" style="956" customWidth="1"/>
    <col min="13068" max="13069" width="12.7109375" style="956" customWidth="1"/>
    <col min="13070" max="13070" width="9.140625" style="956"/>
    <col min="13071" max="13071" width="11.140625" style="956" bestFit="1" customWidth="1"/>
    <col min="13072" max="13310" width="9.140625" style="956"/>
    <col min="13311" max="13311" width="4" style="956" customWidth="1"/>
    <col min="13312" max="13312" width="30.7109375" style="956" customWidth="1"/>
    <col min="13313" max="13314" width="10" style="956" customWidth="1"/>
    <col min="13315" max="13315" width="9.85546875" style="956" customWidth="1"/>
    <col min="13316" max="13316" width="12.42578125" style="956" customWidth="1"/>
    <col min="13317" max="13322" width="12.7109375" style="956" customWidth="1"/>
    <col min="13323" max="13323" width="13" style="956" customWidth="1"/>
    <col min="13324" max="13325" width="12.7109375" style="956" customWidth="1"/>
    <col min="13326" max="13326" width="9.140625" style="956"/>
    <col min="13327" max="13327" width="11.140625" style="956" bestFit="1" customWidth="1"/>
    <col min="13328" max="13566" width="9.140625" style="956"/>
    <col min="13567" max="13567" width="4" style="956" customWidth="1"/>
    <col min="13568" max="13568" width="30.7109375" style="956" customWidth="1"/>
    <col min="13569" max="13570" width="10" style="956" customWidth="1"/>
    <col min="13571" max="13571" width="9.85546875" style="956" customWidth="1"/>
    <col min="13572" max="13572" width="12.42578125" style="956" customWidth="1"/>
    <col min="13573" max="13578" width="12.7109375" style="956" customWidth="1"/>
    <col min="13579" max="13579" width="13" style="956" customWidth="1"/>
    <col min="13580" max="13581" width="12.7109375" style="956" customWidth="1"/>
    <col min="13582" max="13582" width="9.140625" style="956"/>
    <col min="13583" max="13583" width="11.140625" style="956" bestFit="1" customWidth="1"/>
    <col min="13584" max="13822" width="9.140625" style="956"/>
    <col min="13823" max="13823" width="4" style="956" customWidth="1"/>
    <col min="13824" max="13824" width="30.7109375" style="956" customWidth="1"/>
    <col min="13825" max="13826" width="10" style="956" customWidth="1"/>
    <col min="13827" max="13827" width="9.85546875" style="956" customWidth="1"/>
    <col min="13828" max="13828" width="12.42578125" style="956" customWidth="1"/>
    <col min="13829" max="13834" width="12.7109375" style="956" customWidth="1"/>
    <col min="13835" max="13835" width="13" style="956" customWidth="1"/>
    <col min="13836" max="13837" width="12.7109375" style="956" customWidth="1"/>
    <col min="13838" max="13838" width="9.140625" style="956"/>
    <col min="13839" max="13839" width="11.140625" style="956" bestFit="1" customWidth="1"/>
    <col min="13840" max="14078" width="9.140625" style="956"/>
    <col min="14079" max="14079" width="4" style="956" customWidth="1"/>
    <col min="14080" max="14080" width="30.7109375" style="956" customWidth="1"/>
    <col min="14081" max="14082" width="10" style="956" customWidth="1"/>
    <col min="14083" max="14083" width="9.85546875" style="956" customWidth="1"/>
    <col min="14084" max="14084" width="12.42578125" style="956" customWidth="1"/>
    <col min="14085" max="14090" width="12.7109375" style="956" customWidth="1"/>
    <col min="14091" max="14091" width="13" style="956" customWidth="1"/>
    <col min="14092" max="14093" width="12.7109375" style="956" customWidth="1"/>
    <col min="14094" max="14094" width="9.140625" style="956"/>
    <col min="14095" max="14095" width="11.140625" style="956" bestFit="1" customWidth="1"/>
    <col min="14096" max="14334" width="9.140625" style="956"/>
    <col min="14335" max="14335" width="4" style="956" customWidth="1"/>
    <col min="14336" max="14336" width="30.7109375" style="956" customWidth="1"/>
    <col min="14337" max="14338" width="10" style="956" customWidth="1"/>
    <col min="14339" max="14339" width="9.85546875" style="956" customWidth="1"/>
    <col min="14340" max="14340" width="12.42578125" style="956" customWidth="1"/>
    <col min="14341" max="14346" width="12.7109375" style="956" customWidth="1"/>
    <col min="14347" max="14347" width="13" style="956" customWidth="1"/>
    <col min="14348" max="14349" width="12.7109375" style="956" customWidth="1"/>
    <col min="14350" max="14350" width="9.140625" style="956"/>
    <col min="14351" max="14351" width="11.140625" style="956" bestFit="1" customWidth="1"/>
    <col min="14352" max="14590" width="9.140625" style="956"/>
    <col min="14591" max="14591" width="4" style="956" customWidth="1"/>
    <col min="14592" max="14592" width="30.7109375" style="956" customWidth="1"/>
    <col min="14593" max="14594" width="10" style="956" customWidth="1"/>
    <col min="14595" max="14595" width="9.85546875" style="956" customWidth="1"/>
    <col min="14596" max="14596" width="12.42578125" style="956" customWidth="1"/>
    <col min="14597" max="14602" width="12.7109375" style="956" customWidth="1"/>
    <col min="14603" max="14603" width="13" style="956" customWidth="1"/>
    <col min="14604" max="14605" width="12.7109375" style="956" customWidth="1"/>
    <col min="14606" max="14606" width="9.140625" style="956"/>
    <col min="14607" max="14607" width="11.140625" style="956" bestFit="1" customWidth="1"/>
    <col min="14608" max="14846" width="9.140625" style="956"/>
    <col min="14847" max="14847" width="4" style="956" customWidth="1"/>
    <col min="14848" max="14848" width="30.7109375" style="956" customWidth="1"/>
    <col min="14849" max="14850" width="10" style="956" customWidth="1"/>
    <col min="14851" max="14851" width="9.85546875" style="956" customWidth="1"/>
    <col min="14852" max="14852" width="12.42578125" style="956" customWidth="1"/>
    <col min="14853" max="14858" width="12.7109375" style="956" customWidth="1"/>
    <col min="14859" max="14859" width="13" style="956" customWidth="1"/>
    <col min="14860" max="14861" width="12.7109375" style="956" customWidth="1"/>
    <col min="14862" max="14862" width="9.140625" style="956"/>
    <col min="14863" max="14863" width="11.140625" style="956" bestFit="1" customWidth="1"/>
    <col min="14864" max="15102" width="9.140625" style="956"/>
    <col min="15103" max="15103" width="4" style="956" customWidth="1"/>
    <col min="15104" max="15104" width="30.7109375" style="956" customWidth="1"/>
    <col min="15105" max="15106" width="10" style="956" customWidth="1"/>
    <col min="15107" max="15107" width="9.85546875" style="956" customWidth="1"/>
    <col min="15108" max="15108" width="12.42578125" style="956" customWidth="1"/>
    <col min="15109" max="15114" width="12.7109375" style="956" customWidth="1"/>
    <col min="15115" max="15115" width="13" style="956" customWidth="1"/>
    <col min="15116" max="15117" width="12.7109375" style="956" customWidth="1"/>
    <col min="15118" max="15118" width="9.140625" style="956"/>
    <col min="15119" max="15119" width="11.140625" style="956" bestFit="1" customWidth="1"/>
    <col min="15120" max="15358" width="9.140625" style="956"/>
    <col min="15359" max="15359" width="4" style="956" customWidth="1"/>
    <col min="15360" max="15360" width="30.7109375" style="956" customWidth="1"/>
    <col min="15361" max="15362" width="10" style="956" customWidth="1"/>
    <col min="15363" max="15363" width="9.85546875" style="956" customWidth="1"/>
    <col min="15364" max="15364" width="12.42578125" style="956" customWidth="1"/>
    <col min="15365" max="15370" width="12.7109375" style="956" customWidth="1"/>
    <col min="15371" max="15371" width="13" style="956" customWidth="1"/>
    <col min="15372" max="15373" width="12.7109375" style="956" customWidth="1"/>
    <col min="15374" max="15374" width="9.140625" style="956"/>
    <col min="15375" max="15375" width="11.140625" style="956" bestFit="1" customWidth="1"/>
    <col min="15376" max="15614" width="9.140625" style="956"/>
    <col min="15615" max="15615" width="4" style="956" customWidth="1"/>
    <col min="15616" max="15616" width="30.7109375" style="956" customWidth="1"/>
    <col min="15617" max="15618" width="10" style="956" customWidth="1"/>
    <col min="15619" max="15619" width="9.85546875" style="956" customWidth="1"/>
    <col min="15620" max="15620" width="12.42578125" style="956" customWidth="1"/>
    <col min="15621" max="15626" width="12.7109375" style="956" customWidth="1"/>
    <col min="15627" max="15627" width="13" style="956" customWidth="1"/>
    <col min="15628" max="15629" width="12.7109375" style="956" customWidth="1"/>
    <col min="15630" max="15630" width="9.140625" style="956"/>
    <col min="15631" max="15631" width="11.140625" style="956" bestFit="1" customWidth="1"/>
    <col min="15632" max="15870" width="9.140625" style="956"/>
    <col min="15871" max="15871" width="4" style="956" customWidth="1"/>
    <col min="15872" max="15872" width="30.7109375" style="956" customWidth="1"/>
    <col min="15873" max="15874" width="10" style="956" customWidth="1"/>
    <col min="15875" max="15875" width="9.85546875" style="956" customWidth="1"/>
    <col min="15876" max="15876" width="12.42578125" style="956" customWidth="1"/>
    <col min="15877" max="15882" width="12.7109375" style="956" customWidth="1"/>
    <col min="15883" max="15883" width="13" style="956" customWidth="1"/>
    <col min="15884" max="15885" width="12.7109375" style="956" customWidth="1"/>
    <col min="15886" max="15886" width="9.140625" style="956"/>
    <col min="15887" max="15887" width="11.140625" style="956" bestFit="1" customWidth="1"/>
    <col min="15888" max="16126" width="9.140625" style="956"/>
    <col min="16127" max="16127" width="4" style="956" customWidth="1"/>
    <col min="16128" max="16128" width="30.7109375" style="956" customWidth="1"/>
    <col min="16129" max="16130" width="10" style="956" customWidth="1"/>
    <col min="16131" max="16131" width="9.85546875" style="956" customWidth="1"/>
    <col min="16132" max="16132" width="12.42578125" style="956" customWidth="1"/>
    <col min="16133" max="16138" width="12.7109375" style="956" customWidth="1"/>
    <col min="16139" max="16139" width="13" style="956" customWidth="1"/>
    <col min="16140" max="16141" width="12.7109375" style="956" customWidth="1"/>
    <col min="16142" max="16142" width="9.140625" style="956"/>
    <col min="16143" max="16143" width="11.140625" style="956" bestFit="1" customWidth="1"/>
    <col min="16144" max="16384" width="9.140625" style="956"/>
  </cols>
  <sheetData>
    <row r="1" spans="1:21" s="954" customFormat="1" ht="13.5" thickBot="1">
      <c r="A1" s="954" t="s">
        <v>15</v>
      </c>
      <c r="B1" s="955"/>
      <c r="D1" s="955"/>
    </row>
    <row r="2" spans="1:21" ht="23.25" thickBot="1">
      <c r="A2" s="1724" t="s">
        <v>16</v>
      </c>
      <c r="B2" s="1725"/>
      <c r="C2" s="1725"/>
      <c r="D2" s="1725"/>
      <c r="E2" s="1725"/>
      <c r="F2" s="1725"/>
      <c r="G2" s="1725"/>
      <c r="H2" s="1725"/>
      <c r="I2" s="1725"/>
      <c r="J2" s="1725"/>
      <c r="K2" s="1725"/>
      <c r="L2" s="1725"/>
      <c r="M2" s="1725"/>
      <c r="N2" s="1725"/>
    </row>
    <row r="3" spans="1:21" ht="16.5" thickBot="1">
      <c r="A3" s="1726" t="s">
        <v>17</v>
      </c>
      <c r="B3" s="1727"/>
      <c r="C3" s="1727"/>
      <c r="D3" s="1727"/>
      <c r="E3" s="1727"/>
      <c r="F3" s="1727"/>
      <c r="G3" s="1727"/>
      <c r="H3" s="1727"/>
      <c r="I3" s="1727"/>
      <c r="J3" s="1727"/>
      <c r="K3" s="1727"/>
      <c r="L3" s="1727"/>
      <c r="M3" s="1727"/>
      <c r="N3" s="1727"/>
    </row>
    <row r="4" spans="1:21" ht="25.5">
      <c r="A4" s="957" t="s">
        <v>18</v>
      </c>
      <c r="B4" s="958"/>
      <c r="C4" s="959" t="s">
        <v>19</v>
      </c>
      <c r="D4" s="959"/>
      <c r="E4" s="960"/>
      <c r="F4" s="1728" t="s">
        <v>20</v>
      </c>
      <c r="G4" s="1779"/>
      <c r="H4" s="1780"/>
      <c r="I4" s="961" t="s">
        <v>21</v>
      </c>
      <c r="J4" s="354">
        <f>N34-H34</f>
        <v>3500</v>
      </c>
      <c r="K4" s="962"/>
      <c r="L4" s="963"/>
      <c r="M4" s="963"/>
      <c r="N4" s="963"/>
    </row>
    <row r="5" spans="1:21" ht="26.25" thickBot="1">
      <c r="A5" s="964" t="s">
        <v>26</v>
      </c>
      <c r="B5" s="965"/>
      <c r="C5" s="966" t="s">
        <v>27</v>
      </c>
      <c r="D5" s="966"/>
      <c r="E5" s="967"/>
      <c r="F5" s="1729"/>
      <c r="G5" s="1781"/>
      <c r="H5" s="1782"/>
      <c r="I5" s="968" t="s">
        <v>28</v>
      </c>
      <c r="J5" s="354"/>
      <c r="K5" s="969"/>
      <c r="L5" s="970"/>
      <c r="M5" s="970"/>
      <c r="N5" s="970"/>
      <c r="O5" s="970" t="s">
        <v>18</v>
      </c>
      <c r="P5" s="970" t="s">
        <v>31</v>
      </c>
    </row>
    <row r="6" spans="1:21" ht="13.5" thickBot="1">
      <c r="A6" s="971"/>
      <c r="B6" s="972"/>
      <c r="E6" s="974"/>
      <c r="F6" s="355"/>
      <c r="G6" s="975"/>
      <c r="H6" s="974"/>
      <c r="I6" s="976"/>
      <c r="J6" s="974"/>
      <c r="K6" s="976"/>
      <c r="L6" s="974"/>
      <c r="M6" s="974"/>
      <c r="N6" s="974"/>
    </row>
    <row r="7" spans="1:21" ht="31.5" customHeight="1" thickBot="1">
      <c r="A7" s="1730" t="s">
        <v>32</v>
      </c>
      <c r="B7" s="1733" t="s">
        <v>33</v>
      </c>
      <c r="C7" s="1758" t="s">
        <v>34</v>
      </c>
      <c r="D7" s="977"/>
      <c r="E7" s="1738" t="s">
        <v>35</v>
      </c>
      <c r="F7" s="1741" t="s">
        <v>36</v>
      </c>
      <c r="G7" s="1761" t="s">
        <v>1488</v>
      </c>
      <c r="H7" s="1762"/>
      <c r="I7" s="1763" t="s">
        <v>1489</v>
      </c>
      <c r="J7" s="1764"/>
      <c r="K7" s="1761" t="s">
        <v>1490</v>
      </c>
      <c r="L7" s="1762"/>
      <c r="M7" s="1763" t="s">
        <v>1491</v>
      </c>
      <c r="N7" s="1764"/>
    </row>
    <row r="8" spans="1:21" ht="19.5" customHeight="1">
      <c r="A8" s="1731"/>
      <c r="B8" s="1734"/>
      <c r="C8" s="1759"/>
      <c r="D8" s="978"/>
      <c r="E8" s="1739"/>
      <c r="F8" s="1742"/>
      <c r="G8" s="1723" t="s">
        <v>1492</v>
      </c>
      <c r="H8" s="1723"/>
      <c r="I8" s="979"/>
      <c r="J8" s="979"/>
      <c r="K8" s="1723" t="s">
        <v>1493</v>
      </c>
      <c r="L8" s="1723"/>
      <c r="M8" s="1723" t="s">
        <v>1493</v>
      </c>
      <c r="N8" s="1723"/>
    </row>
    <row r="9" spans="1:21" ht="21.75" customHeight="1" thickBot="1">
      <c r="A9" s="1731"/>
      <c r="B9" s="1734"/>
      <c r="C9" s="1759"/>
      <c r="D9" s="978"/>
      <c r="E9" s="1739"/>
      <c r="F9" s="1742"/>
      <c r="G9" s="1723"/>
      <c r="H9" s="1723"/>
      <c r="I9" s="1851" t="s">
        <v>1493</v>
      </c>
      <c r="J9" s="1852"/>
      <c r="K9" s="1723"/>
      <c r="L9" s="1723"/>
      <c r="M9" s="1723"/>
      <c r="N9" s="1723"/>
      <c r="O9" s="980"/>
    </row>
    <row r="10" spans="1:21" ht="39" customHeight="1" thickBot="1">
      <c r="A10" s="1731"/>
      <c r="B10" s="1734"/>
      <c r="C10" s="1759"/>
      <c r="D10" s="978"/>
      <c r="E10" s="1739"/>
      <c r="F10" s="1742"/>
      <c r="G10" s="1713" t="s">
        <v>1494</v>
      </c>
      <c r="H10" s="1714"/>
      <c r="I10" s="1849" t="s">
        <v>1495</v>
      </c>
      <c r="J10" s="1850"/>
      <c r="K10" s="1713" t="s">
        <v>1496</v>
      </c>
      <c r="L10" s="1714"/>
      <c r="M10" s="1849" t="s">
        <v>1497</v>
      </c>
      <c r="N10" s="1850"/>
      <c r="Q10" s="1749" t="s">
        <v>372</v>
      </c>
      <c r="R10" s="1749"/>
    </row>
    <row r="11" spans="1:21" ht="13.5" thickBot="1">
      <c r="A11" s="1731"/>
      <c r="B11" s="1734"/>
      <c r="C11" s="1759"/>
      <c r="D11" s="978"/>
      <c r="E11" s="1739"/>
      <c r="F11" s="1742"/>
      <c r="G11" s="1715" t="s">
        <v>46</v>
      </c>
      <c r="H11" s="1715"/>
      <c r="I11" s="1716" t="s">
        <v>46</v>
      </c>
      <c r="J11" s="1715"/>
      <c r="K11" s="1716" t="s">
        <v>46</v>
      </c>
      <c r="L11" s="1715"/>
      <c r="M11" s="1716" t="s">
        <v>46</v>
      </c>
      <c r="N11" s="1715"/>
      <c r="O11" s="980"/>
      <c r="Q11" s="981"/>
      <c r="R11" s="981"/>
    </row>
    <row r="12" spans="1:21" ht="13.5" thickBot="1">
      <c r="A12" s="1732"/>
      <c r="B12" s="1734"/>
      <c r="C12" s="1759"/>
      <c r="D12" s="978"/>
      <c r="E12" s="1739"/>
      <c r="F12" s="1742"/>
      <c r="G12" s="982" t="s">
        <v>47</v>
      </c>
      <c r="H12" s="983" t="s">
        <v>48</v>
      </c>
      <c r="I12" s="984" t="s">
        <v>47</v>
      </c>
      <c r="J12" s="983" t="s">
        <v>48</v>
      </c>
      <c r="K12" s="984" t="s">
        <v>47</v>
      </c>
      <c r="L12" s="983" t="s">
        <v>48</v>
      </c>
      <c r="M12" s="985" t="s">
        <v>47</v>
      </c>
      <c r="N12" s="986" t="s">
        <v>48</v>
      </c>
      <c r="Q12" s="981"/>
      <c r="R12" s="981"/>
    </row>
    <row r="13" spans="1:21" ht="15.75">
      <c r="A13" s="987"/>
      <c r="B13" s="988"/>
      <c r="C13" s="989"/>
      <c r="D13" s="990"/>
      <c r="E13" s="991"/>
      <c r="F13" s="992"/>
      <c r="G13" s="993"/>
      <c r="H13" s="994"/>
      <c r="I13" s="995"/>
      <c r="J13" s="994"/>
      <c r="K13" s="995"/>
      <c r="L13" s="994"/>
      <c r="M13" s="996"/>
      <c r="N13" s="997"/>
      <c r="Q13" s="981"/>
      <c r="R13" s="981"/>
      <c r="S13" s="981" t="s">
        <v>1498</v>
      </c>
      <c r="T13" s="981" t="s">
        <v>1499</v>
      </c>
      <c r="U13" s="981" t="s">
        <v>1500</v>
      </c>
    </row>
    <row r="14" spans="1:21" ht="45">
      <c r="A14" s="998">
        <v>1</v>
      </c>
      <c r="B14" s="999" t="s">
        <v>1501</v>
      </c>
      <c r="C14" s="981"/>
      <c r="D14" s="1000"/>
      <c r="E14" s="1001"/>
      <c r="F14" s="662"/>
      <c r="G14" s="1002"/>
      <c r="H14" s="1003"/>
      <c r="I14" s="1004"/>
      <c r="J14" s="1005"/>
      <c r="K14" s="1006"/>
      <c r="L14" s="1007"/>
      <c r="M14" s="1008"/>
      <c r="N14" s="1009"/>
      <c r="O14" s="1010"/>
      <c r="P14" s="1010"/>
      <c r="Q14" s="981"/>
      <c r="R14" s="981"/>
      <c r="S14" s="981"/>
      <c r="T14" s="981"/>
      <c r="U14" s="1011"/>
    </row>
    <row r="15" spans="1:21" ht="15.75" thickBot="1">
      <c r="A15" s="998">
        <v>2</v>
      </c>
      <c r="B15" s="1012" t="s">
        <v>1502</v>
      </c>
      <c r="C15" s="981">
        <v>37.5</v>
      </c>
      <c r="D15" s="1000"/>
      <c r="E15" s="1013" t="s">
        <v>345</v>
      </c>
      <c r="F15" s="1014">
        <v>2000</v>
      </c>
      <c r="G15" s="1002">
        <v>37</v>
      </c>
      <c r="H15" s="1015">
        <f>G15</f>
        <v>37</v>
      </c>
      <c r="I15" s="1004">
        <v>38.5</v>
      </c>
      <c r="J15" s="1016">
        <f>I15</f>
        <v>38.5</v>
      </c>
      <c r="K15" s="1006">
        <v>38.9</v>
      </c>
      <c r="L15" s="1007">
        <f>K15</f>
        <v>38.9</v>
      </c>
      <c r="M15" s="1008">
        <v>37.5</v>
      </c>
      <c r="N15" s="1009">
        <f>M15</f>
        <v>37.5</v>
      </c>
      <c r="O15" s="1017">
        <v>1100023680</v>
      </c>
      <c r="P15" s="1018">
        <v>10</v>
      </c>
      <c r="Q15" s="981"/>
      <c r="R15" s="981"/>
      <c r="U15" s="1019"/>
    </row>
    <row r="16" spans="1:21" ht="15.75" thickBot="1">
      <c r="A16" s="998">
        <v>3</v>
      </c>
      <c r="B16" s="1012" t="s">
        <v>1503</v>
      </c>
      <c r="C16" s="981">
        <v>37.549999999999997</v>
      </c>
      <c r="D16" s="1000"/>
      <c r="E16" s="1013" t="s">
        <v>345</v>
      </c>
      <c r="F16" s="1014">
        <v>1000</v>
      </c>
      <c r="G16" s="1002">
        <v>37</v>
      </c>
      <c r="H16" s="1015">
        <f>G16</f>
        <v>37</v>
      </c>
      <c r="I16" s="1004">
        <v>38.5</v>
      </c>
      <c r="J16" s="1016">
        <f>I16</f>
        <v>38.5</v>
      </c>
      <c r="K16" s="1006">
        <v>38.4</v>
      </c>
      <c r="L16" s="1007">
        <f>K16</f>
        <v>38.4</v>
      </c>
      <c r="M16" s="1008">
        <v>37.5</v>
      </c>
      <c r="N16" s="1009">
        <f>M16</f>
        <v>37.5</v>
      </c>
      <c r="O16" s="1017">
        <v>1100023680</v>
      </c>
      <c r="P16" s="1018">
        <v>20</v>
      </c>
      <c r="Q16" s="981"/>
      <c r="R16" s="981"/>
      <c r="U16" s="1019"/>
    </row>
    <row r="17" spans="1:21" ht="15">
      <c r="A17" s="1020"/>
      <c r="B17" s="1021"/>
      <c r="C17" s="1022"/>
      <c r="D17" s="1023"/>
      <c r="E17" s="1024"/>
      <c r="F17" s="1025"/>
      <c r="G17" s="1002"/>
      <c r="H17" s="1003"/>
      <c r="I17" s="1004"/>
      <c r="J17" s="1026"/>
      <c r="K17" s="1006"/>
      <c r="L17" s="1007"/>
      <c r="M17" s="1008"/>
      <c r="N17" s="1009"/>
      <c r="O17" s="1010"/>
      <c r="P17" s="1027"/>
      <c r="Q17" s="981"/>
      <c r="R17" s="981"/>
      <c r="U17" s="1019"/>
    </row>
    <row r="18" spans="1:21" ht="13.5" thickBot="1">
      <c r="A18" s="1028"/>
      <c r="B18" s="1029"/>
      <c r="C18" s="1030"/>
      <c r="D18" s="1030"/>
      <c r="E18" s="1031"/>
      <c r="F18" s="1031"/>
      <c r="G18" s="1032"/>
      <c r="H18" s="1033"/>
      <c r="I18" s="1034"/>
      <c r="J18" s="1033"/>
      <c r="K18" s="1035"/>
      <c r="L18" s="1036"/>
      <c r="M18" s="1037"/>
      <c r="N18" s="1038"/>
      <c r="O18" s="1039"/>
      <c r="P18" s="1040"/>
      <c r="R18" s="956" t="e">
        <f>SUM(#REF!)</f>
        <v>#REF!</v>
      </c>
    </row>
    <row r="19" spans="1:21" s="954" customFormat="1" ht="13.5" thickBot="1">
      <c r="A19" s="1041" t="s">
        <v>58</v>
      </c>
      <c r="B19" s="1042"/>
      <c r="C19" s="1043"/>
      <c r="D19" s="1044"/>
      <c r="E19" s="1045"/>
      <c r="F19" s="372">
        <f ca="1">SUM(F14:F48)</f>
        <v>681</v>
      </c>
      <c r="G19" s="373">
        <f t="shared" ref="G19:N19" si="0">SUMPRODUCT(G13:G18, $F$13:$F$18)</f>
        <v>111000</v>
      </c>
      <c r="H19" s="373">
        <f t="shared" si="0"/>
        <v>111000</v>
      </c>
      <c r="I19" s="373">
        <f t="shared" si="0"/>
        <v>115500</v>
      </c>
      <c r="J19" s="373">
        <f t="shared" si="0"/>
        <v>115500</v>
      </c>
      <c r="K19" s="373">
        <f t="shared" si="0"/>
        <v>116200</v>
      </c>
      <c r="L19" s="373">
        <f t="shared" si="0"/>
        <v>116200</v>
      </c>
      <c r="M19" s="1046">
        <f t="shared" si="0"/>
        <v>112500</v>
      </c>
      <c r="N19" s="1046">
        <f t="shared" si="0"/>
        <v>112500</v>
      </c>
      <c r="O19" s="432"/>
      <c r="P19" s="374"/>
      <c r="Q19" s="373"/>
      <c r="U19" s="1047"/>
    </row>
    <row r="20" spans="1:21">
      <c r="A20" s="1704" t="s">
        <v>59</v>
      </c>
      <c r="B20" s="1705"/>
      <c r="C20" s="1048"/>
      <c r="D20" s="1049"/>
      <c r="E20" s="1048"/>
      <c r="F20" s="376"/>
      <c r="G20" s="377">
        <v>0</v>
      </c>
      <c r="H20" s="378">
        <v>0</v>
      </c>
      <c r="I20" s="379"/>
      <c r="J20" s="377"/>
      <c r="K20" s="379"/>
      <c r="L20" s="377"/>
      <c r="M20" s="379">
        <v>2000</v>
      </c>
      <c r="N20" s="377">
        <v>2000</v>
      </c>
      <c r="O20" s="1050"/>
    </row>
    <row r="21" spans="1:21">
      <c r="A21" s="1051" t="s">
        <v>60</v>
      </c>
      <c r="B21" s="1052"/>
      <c r="C21" s="1048"/>
      <c r="D21" s="1049"/>
      <c r="E21" s="1048"/>
      <c r="F21" s="376"/>
      <c r="G21" s="380"/>
      <c r="H21" s="381" t="s">
        <v>61</v>
      </c>
      <c r="I21" s="382"/>
      <c r="J21" s="380" t="s">
        <v>61</v>
      </c>
      <c r="K21" s="382"/>
      <c r="L21" s="380" t="s">
        <v>61</v>
      </c>
      <c r="M21" s="382"/>
      <c r="N21" s="380"/>
      <c r="O21" s="1050"/>
      <c r="T21" s="1050"/>
    </row>
    <row r="22" spans="1:21">
      <c r="A22" s="1706" t="s">
        <v>62</v>
      </c>
      <c r="B22" s="1707"/>
      <c r="C22" s="1048"/>
      <c r="D22" s="1049"/>
      <c r="E22" s="1048"/>
      <c r="F22" s="376"/>
      <c r="G22" s="380"/>
      <c r="H22" s="381"/>
      <c r="I22" s="382"/>
      <c r="J22" s="380"/>
      <c r="K22" s="382"/>
      <c r="L22" s="380"/>
      <c r="M22" s="382"/>
      <c r="N22" s="380"/>
    </row>
    <row r="23" spans="1:21" ht="12.95" customHeight="1">
      <c r="A23" s="1053" t="s">
        <v>63</v>
      </c>
      <c r="B23" s="1054"/>
      <c r="C23" s="1054"/>
      <c r="D23" s="1055"/>
      <c r="E23" s="1054"/>
      <c r="F23" s="1056"/>
      <c r="G23" s="1057">
        <v>0</v>
      </c>
      <c r="H23" s="1057">
        <v>0</v>
      </c>
      <c r="I23" s="1057"/>
      <c r="J23" s="1057"/>
      <c r="K23" s="1057"/>
      <c r="L23" s="1057"/>
      <c r="M23" s="1057"/>
      <c r="N23" s="1057"/>
    </row>
    <row r="24" spans="1:21" ht="12.95" customHeight="1">
      <c r="A24" s="1053"/>
      <c r="B24" s="1054" t="s">
        <v>64</v>
      </c>
      <c r="C24" s="1058"/>
      <c r="D24" s="1055"/>
      <c r="E24" s="1058"/>
      <c r="F24" s="1059"/>
      <c r="G24" s="384">
        <f>(G19+G20+G21+G22)*G23</f>
        <v>0</v>
      </c>
      <c r="H24" s="385">
        <f>(H19+H20+H22)*H23</f>
        <v>0</v>
      </c>
      <c r="I24" s="386">
        <f>(I19+I20+I21+I22)*I23</f>
        <v>0</v>
      </c>
      <c r="J24" s="384">
        <f>(J19+J20+J22)*J23</f>
        <v>0</v>
      </c>
      <c r="K24" s="386">
        <f>(K19+K20+K21+K22)*K23</f>
        <v>0</v>
      </c>
      <c r="L24" s="384">
        <f>(L19+L20+L22)*L23</f>
        <v>0</v>
      </c>
      <c r="M24" s="386">
        <f>(M19+M20+M21+M22)*M23</f>
        <v>0</v>
      </c>
      <c r="N24" s="384"/>
    </row>
    <row r="25" spans="1:21">
      <c r="A25" s="1706" t="s">
        <v>65</v>
      </c>
      <c r="B25" s="1707"/>
      <c r="C25" s="1058"/>
      <c r="D25" s="1055"/>
      <c r="E25" s="1060"/>
      <c r="F25" s="1061"/>
      <c r="G25" s="387">
        <v>0.05</v>
      </c>
      <c r="H25" s="387">
        <v>0.05</v>
      </c>
      <c r="I25" s="387">
        <v>0.05</v>
      </c>
      <c r="J25" s="387">
        <v>0.05</v>
      </c>
      <c r="K25" s="387">
        <v>0.05</v>
      </c>
      <c r="L25" s="387">
        <v>0.05</v>
      </c>
      <c r="M25" s="387">
        <v>0.05</v>
      </c>
      <c r="N25" s="387">
        <v>0.05</v>
      </c>
    </row>
    <row r="26" spans="1:21" ht="12.95" customHeight="1">
      <c r="A26" s="1051"/>
      <c r="B26" s="1052" t="s">
        <v>66</v>
      </c>
      <c r="C26" s="1058"/>
      <c r="D26" s="1055"/>
      <c r="E26" s="1060"/>
      <c r="F26" s="1061"/>
      <c r="G26" s="384">
        <f>(G24+G20+G21+G22+G19)*G25</f>
        <v>5550</v>
      </c>
      <c r="H26" s="385">
        <f>(H24+H20+H22+H19)*H25</f>
        <v>5550</v>
      </c>
      <c r="I26" s="386">
        <f>(I24+I20+I21+I22+I19)*I25</f>
        <v>5775</v>
      </c>
      <c r="J26" s="384">
        <f>(J24+J20+J22+J19)*J25</f>
        <v>5775</v>
      </c>
      <c r="K26" s="386">
        <f>(K24+K20+K21+K22+K19)*K25</f>
        <v>5810</v>
      </c>
      <c r="L26" s="384">
        <f>(L24+L20+L22+L19)*L25</f>
        <v>5810</v>
      </c>
      <c r="M26" s="386">
        <f>(M24+M20+M21+M22+M19)*M25</f>
        <v>5725</v>
      </c>
      <c r="N26" s="384">
        <f>(N24+N20+N22+N19)*N25</f>
        <v>5725</v>
      </c>
    </row>
    <row r="27" spans="1:21" ht="12.95" customHeight="1">
      <c r="A27" s="1051" t="s">
        <v>67</v>
      </c>
      <c r="B27" s="1052"/>
      <c r="C27" s="1058"/>
      <c r="D27" s="1055"/>
      <c r="E27" s="1060"/>
      <c r="F27" s="1061"/>
      <c r="G27" s="387"/>
      <c r="H27" s="387"/>
      <c r="I27" s="387"/>
      <c r="J27" s="387"/>
      <c r="K27" s="387"/>
      <c r="L27" s="387"/>
      <c r="M27" s="387"/>
      <c r="N27" s="387"/>
    </row>
    <row r="28" spans="1:21" ht="12.95" customHeight="1">
      <c r="A28" s="1051"/>
      <c r="B28" s="1052" t="s">
        <v>68</v>
      </c>
      <c r="C28" s="1058"/>
      <c r="D28" s="1055"/>
      <c r="E28" s="1060"/>
      <c r="F28" s="1061"/>
      <c r="G28" s="384">
        <f>(G24+G20+G21+G22+G19)*G27</f>
        <v>0</v>
      </c>
      <c r="H28" s="385">
        <f>(H24+H20+H22+H19)*H27</f>
        <v>0</v>
      </c>
      <c r="I28" s="386">
        <f>(I24+I20+I21+I22+I19)*I27</f>
        <v>0</v>
      </c>
      <c r="J28" s="384">
        <f>(J24+J20+J22+J19)*J27</f>
        <v>0</v>
      </c>
      <c r="K28" s="386">
        <f>(K24+K20+K21+K22+K19)*K27</f>
        <v>0</v>
      </c>
      <c r="L28" s="384">
        <f>(L24+L20+L22+L19)*L27</f>
        <v>0</v>
      </c>
      <c r="M28" s="386">
        <f>(M24+M20+M21+M22+M19)*M27</f>
        <v>0</v>
      </c>
      <c r="N28" s="384">
        <f>(N24+N20+N22+N19)*N27</f>
        <v>0</v>
      </c>
    </row>
    <row r="29" spans="1:21" ht="12.95" customHeight="1">
      <c r="A29" s="1706" t="s">
        <v>69</v>
      </c>
      <c r="B29" s="1707"/>
      <c r="C29" s="1058"/>
      <c r="D29" s="1055"/>
      <c r="E29" s="1062"/>
      <c r="F29" s="1061"/>
      <c r="G29" s="387"/>
      <c r="H29" s="388"/>
      <c r="I29" s="389"/>
      <c r="J29" s="387"/>
      <c r="K29" s="389"/>
      <c r="L29" s="387"/>
      <c r="M29" s="389"/>
      <c r="N29" s="387"/>
    </row>
    <row r="30" spans="1:21" ht="12.95" customHeight="1">
      <c r="A30" s="1063"/>
      <c r="B30" s="1064" t="s">
        <v>70</v>
      </c>
      <c r="C30" s="1065"/>
      <c r="D30" s="1066"/>
      <c r="E30" s="1067"/>
      <c r="F30" s="1068"/>
      <c r="G30" s="384">
        <f t="shared" ref="G30:N30" si="1">G19*G29</f>
        <v>0</v>
      </c>
      <c r="H30" s="385">
        <f t="shared" si="1"/>
        <v>0</v>
      </c>
      <c r="I30" s="386">
        <f t="shared" si="1"/>
        <v>0</v>
      </c>
      <c r="J30" s="384">
        <f t="shared" si="1"/>
        <v>0</v>
      </c>
      <c r="K30" s="386">
        <f t="shared" si="1"/>
        <v>0</v>
      </c>
      <c r="L30" s="384">
        <f t="shared" si="1"/>
        <v>0</v>
      </c>
      <c r="M30" s="386">
        <f t="shared" si="1"/>
        <v>0</v>
      </c>
      <c r="N30" s="384">
        <f t="shared" si="1"/>
        <v>0</v>
      </c>
    </row>
    <row r="31" spans="1:21" ht="13.5" thickBot="1">
      <c r="A31" s="1708"/>
      <c r="B31" s="1709"/>
      <c r="C31" s="1065"/>
      <c r="D31" s="1066"/>
      <c r="E31" s="1065"/>
      <c r="F31" s="391"/>
      <c r="G31" s="392"/>
      <c r="H31" s="393"/>
      <c r="I31" s="394"/>
      <c r="J31" s="392"/>
      <c r="K31" s="394"/>
      <c r="L31" s="392"/>
      <c r="M31" s="394"/>
      <c r="N31" s="392"/>
    </row>
    <row r="32" spans="1:21" ht="13.5" thickBot="1">
      <c r="A32" s="1069" t="s">
        <v>71</v>
      </c>
      <c r="B32" s="1070"/>
      <c r="C32" s="1070"/>
      <c r="D32" s="1071"/>
      <c r="E32" s="1070"/>
      <c r="F32" s="1072"/>
      <c r="G32" s="1073">
        <f>SUM(G19:G31)</f>
        <v>116550.05</v>
      </c>
      <c r="H32" s="1074">
        <f>SUM(H19:H31)</f>
        <v>116550.05</v>
      </c>
      <c r="I32" s="1073">
        <f>SUM(I19,I20,I22,I24,I26)</f>
        <v>121275</v>
      </c>
      <c r="J32" s="1074">
        <f>SUM(J19:J31)</f>
        <v>121275.05</v>
      </c>
      <c r="K32" s="1073">
        <f>SUM(K19,K20,K22,K24,K26)</f>
        <v>122010</v>
      </c>
      <c r="L32" s="1074">
        <f>SUM(L19:L31)</f>
        <v>122010.05</v>
      </c>
      <c r="M32" s="1073">
        <f>SUM(M19,M20,M22,M24,M26)</f>
        <v>120225</v>
      </c>
      <c r="N32" s="1074">
        <f>SUM(N19:N31)</f>
        <v>120225.05</v>
      </c>
    </row>
    <row r="33" spans="1:14" s="1080" customFormat="1" ht="13.5" thickBot="1">
      <c r="A33" s="1075"/>
      <c r="B33" s="1076"/>
      <c r="C33" s="1076"/>
      <c r="D33" s="1077"/>
      <c r="E33" s="1076"/>
      <c r="F33" s="1076"/>
      <c r="G33" s="1078"/>
      <c r="H33" s="1079"/>
      <c r="I33" s="1078"/>
      <c r="J33" s="1079"/>
      <c r="K33" s="1078"/>
      <c r="L33" s="1079"/>
      <c r="M33" s="1078"/>
      <c r="N33" s="1079"/>
    </row>
    <row r="34" spans="1:14" s="954" customFormat="1" ht="13.5" thickBot="1">
      <c r="A34" s="1069" t="s">
        <v>72</v>
      </c>
      <c r="B34" s="1070"/>
      <c r="C34" s="1070"/>
      <c r="D34" s="1071"/>
      <c r="E34" s="1070"/>
      <c r="F34" s="1072"/>
      <c r="G34" s="1074">
        <f>G19+G28+G20+G22+G21</f>
        <v>111000</v>
      </c>
      <c r="H34" s="1081">
        <f>H19+H28+H20</f>
        <v>111000</v>
      </c>
      <c r="I34" s="1074">
        <f t="shared" ref="I34:N34" si="2">I19+I28+I20</f>
        <v>115500</v>
      </c>
      <c r="J34" s="1074">
        <f t="shared" si="2"/>
        <v>115500</v>
      </c>
      <c r="K34" s="1074">
        <f t="shared" si="2"/>
        <v>116200</v>
      </c>
      <c r="L34" s="1074">
        <f t="shared" si="2"/>
        <v>116200</v>
      </c>
      <c r="M34" s="1074">
        <f t="shared" si="2"/>
        <v>114500</v>
      </c>
      <c r="N34" s="1074">
        <f t="shared" si="2"/>
        <v>114500</v>
      </c>
    </row>
    <row r="35" spans="1:14" ht="13.5" thickBot="1">
      <c r="A35" s="1082"/>
      <c r="B35" s="1083" t="s">
        <v>1305</v>
      </c>
      <c r="C35" s="1084"/>
      <c r="D35" s="1083"/>
      <c r="E35" s="1084"/>
      <c r="F35" s="397"/>
      <c r="G35" s="1022"/>
      <c r="H35" s="1085"/>
      <c r="I35" s="1022"/>
      <c r="J35" s="1085"/>
      <c r="K35" s="1022"/>
      <c r="L35" s="1085"/>
      <c r="M35" s="1022"/>
      <c r="N35" s="1085"/>
    </row>
    <row r="36" spans="1:14">
      <c r="A36" s="1086" t="s">
        <v>73</v>
      </c>
      <c r="B36" s="1087" t="s">
        <v>74</v>
      </c>
      <c r="C36" s="1088"/>
      <c r="D36" s="1089"/>
      <c r="E36" s="1088"/>
      <c r="F36" s="399"/>
      <c r="G36" s="1090" t="s">
        <v>1504</v>
      </c>
      <c r="H36" s="1090" t="s">
        <v>1505</v>
      </c>
      <c r="I36" s="1090" t="s">
        <v>1504</v>
      </c>
      <c r="J36" s="1090" t="s">
        <v>1505</v>
      </c>
      <c r="K36" s="1090" t="s">
        <v>1504</v>
      </c>
      <c r="L36" s="1090" t="s">
        <v>1505</v>
      </c>
      <c r="M36" s="1090" t="s">
        <v>1504</v>
      </c>
      <c r="N36" s="1090" t="s">
        <v>1505</v>
      </c>
    </row>
    <row r="37" spans="1:14" ht="26.25" thickBot="1">
      <c r="A37" s="1091" t="s">
        <v>79</v>
      </c>
      <c r="B37" s="1092" t="s">
        <v>80</v>
      </c>
      <c r="C37" s="1093"/>
      <c r="D37" s="1094"/>
      <c r="E37" s="1093"/>
      <c r="F37" s="401"/>
      <c r="G37" s="1090" t="s">
        <v>165</v>
      </c>
      <c r="H37" s="1095" t="s">
        <v>1506</v>
      </c>
      <c r="I37" s="1096" t="s">
        <v>329</v>
      </c>
      <c r="J37" s="1095" t="s">
        <v>82</v>
      </c>
      <c r="K37" s="1095" t="s">
        <v>82</v>
      </c>
      <c r="L37" s="1095" t="s">
        <v>393</v>
      </c>
      <c r="M37" s="1095" t="s">
        <v>393</v>
      </c>
      <c r="N37" s="1095" t="s">
        <v>1507</v>
      </c>
    </row>
    <row r="38" spans="1:14" ht="102">
      <c r="A38" s="1097" t="s">
        <v>85</v>
      </c>
      <c r="B38" s="1098" t="s">
        <v>86</v>
      </c>
      <c r="C38" s="1099"/>
      <c r="D38" s="1098"/>
      <c r="E38" s="1099"/>
      <c r="F38" s="402"/>
      <c r="G38" s="1100" t="s">
        <v>1508</v>
      </c>
      <c r="H38" s="1100" t="s">
        <v>1509</v>
      </c>
      <c r="I38" s="1100" t="s">
        <v>1508</v>
      </c>
      <c r="J38" s="1100" t="s">
        <v>1509</v>
      </c>
      <c r="K38" s="1100" t="s">
        <v>1508</v>
      </c>
      <c r="L38" s="1100" t="s">
        <v>1509</v>
      </c>
      <c r="M38" s="1100" t="s">
        <v>1508</v>
      </c>
      <c r="N38" s="1100" t="s">
        <v>1509</v>
      </c>
    </row>
    <row r="39" spans="1:14">
      <c r="A39" s="1101" t="s">
        <v>90</v>
      </c>
      <c r="B39" s="1099" t="s">
        <v>91</v>
      </c>
      <c r="C39" s="1099"/>
      <c r="D39" s="1098"/>
      <c r="E39" s="1099"/>
      <c r="F39" s="402"/>
      <c r="G39" s="1102" t="s">
        <v>351</v>
      </c>
      <c r="H39" s="1102" t="s">
        <v>351</v>
      </c>
      <c r="I39" s="1102" t="s">
        <v>351</v>
      </c>
      <c r="J39" s="1102" t="s">
        <v>351</v>
      </c>
      <c r="K39" s="1102" t="s">
        <v>351</v>
      </c>
      <c r="L39" s="1102" t="s">
        <v>351</v>
      </c>
      <c r="M39" s="1102" t="s">
        <v>351</v>
      </c>
      <c r="N39" s="1102" t="s">
        <v>351</v>
      </c>
    </row>
    <row r="40" spans="1:14" ht="39.950000000000003" customHeight="1">
      <c r="A40" s="1101" t="s">
        <v>93</v>
      </c>
      <c r="B40" s="1098" t="s">
        <v>94</v>
      </c>
      <c r="C40" s="1099"/>
      <c r="D40" s="1098"/>
      <c r="E40" s="1099"/>
      <c r="F40" s="402"/>
      <c r="G40" s="1103">
        <f t="shared" ref="G40:N40" si="3">+-0.5 %</f>
        <v>-5.0000000000000001E-3</v>
      </c>
      <c r="H40" s="1103">
        <f t="shared" si="3"/>
        <v>-5.0000000000000001E-3</v>
      </c>
      <c r="I40" s="1103">
        <f t="shared" si="3"/>
        <v>-5.0000000000000001E-3</v>
      </c>
      <c r="J40" s="1103">
        <f t="shared" si="3"/>
        <v>-5.0000000000000001E-3</v>
      </c>
      <c r="K40" s="1103">
        <f t="shared" si="3"/>
        <v>-5.0000000000000001E-3</v>
      </c>
      <c r="L40" s="1103">
        <f t="shared" si="3"/>
        <v>-5.0000000000000001E-3</v>
      </c>
      <c r="M40" s="1103">
        <f t="shared" si="3"/>
        <v>-5.0000000000000001E-3</v>
      </c>
      <c r="N40" s="1103">
        <f t="shared" si="3"/>
        <v>-5.0000000000000001E-3</v>
      </c>
    </row>
    <row r="41" spans="1:14" ht="102">
      <c r="A41" s="1101" t="s">
        <v>95</v>
      </c>
      <c r="B41" s="1098" t="s">
        <v>96</v>
      </c>
      <c r="C41" s="1099"/>
      <c r="D41" s="1098"/>
      <c r="E41" s="1099"/>
      <c r="F41" s="402"/>
      <c r="G41" s="1100" t="s">
        <v>97</v>
      </c>
      <c r="H41" s="1100" t="s">
        <v>97</v>
      </c>
      <c r="I41" s="1100" t="s">
        <v>97</v>
      </c>
      <c r="J41" s="1100" t="s">
        <v>97</v>
      </c>
      <c r="K41" s="1100" t="s">
        <v>97</v>
      </c>
      <c r="L41" s="1100" t="s">
        <v>97</v>
      </c>
      <c r="M41" s="1100" t="s">
        <v>97</v>
      </c>
      <c r="N41" s="1100" t="s">
        <v>97</v>
      </c>
    </row>
    <row r="42" spans="1:14" ht="77.25" thickBot="1">
      <c r="A42" s="1104" t="s">
        <v>99</v>
      </c>
      <c r="B42" s="1105" t="s">
        <v>100</v>
      </c>
      <c r="C42" s="1106"/>
      <c r="D42" s="1105"/>
      <c r="E42" s="1106"/>
      <c r="F42" s="403"/>
      <c r="G42" s="1096" t="s">
        <v>101</v>
      </c>
      <c r="H42" s="1096" t="s">
        <v>1510</v>
      </c>
      <c r="I42" s="1096" t="s">
        <v>101</v>
      </c>
      <c r="J42" s="1096" t="s">
        <v>1510</v>
      </c>
      <c r="K42" s="1096" t="s">
        <v>101</v>
      </c>
      <c r="L42" s="1096" t="s">
        <v>1510</v>
      </c>
      <c r="M42" s="1096" t="s">
        <v>101</v>
      </c>
      <c r="N42" s="1096" t="s">
        <v>1510</v>
      </c>
    </row>
    <row r="43" spans="1:14" ht="30" customHeight="1">
      <c r="A43" s="1710" t="s">
        <v>102</v>
      </c>
      <c r="B43" s="1711"/>
      <c r="C43" s="1712"/>
      <c r="D43" s="1107"/>
      <c r="E43" s="1695" t="s">
        <v>103</v>
      </c>
      <c r="F43" s="1696"/>
      <c r="G43" s="1696"/>
      <c r="H43" s="1696"/>
      <c r="I43" s="1696"/>
      <c r="J43" s="1848" t="s">
        <v>104</v>
      </c>
      <c r="K43" s="1848"/>
      <c r="L43" s="1848"/>
      <c r="M43" s="1848"/>
      <c r="N43" s="1848"/>
    </row>
    <row r="44" spans="1:14" ht="13.5" thickBot="1">
      <c r="A44" s="1710"/>
      <c r="B44" s="1711"/>
      <c r="C44" s="1712"/>
      <c r="D44" s="1107"/>
      <c r="E44" s="1695"/>
      <c r="F44" s="1696"/>
      <c r="G44" s="1696"/>
      <c r="H44" s="1696"/>
      <c r="I44" s="1696"/>
      <c r="J44" s="1848"/>
      <c r="K44" s="1848"/>
      <c r="L44" s="1848"/>
      <c r="M44" s="1848"/>
      <c r="N44" s="1848"/>
    </row>
    <row r="45" spans="1:14">
      <c r="A45" s="1108"/>
      <c r="B45" s="1109"/>
      <c r="C45" s="1110"/>
      <c r="D45" s="1109"/>
      <c r="E45" s="1110"/>
      <c r="F45" s="406"/>
      <c r="G45" s="1110"/>
      <c r="H45" s="1110"/>
      <c r="I45" s="1110"/>
      <c r="J45" s="1111"/>
      <c r="K45" s="1111"/>
      <c r="L45" s="1111"/>
      <c r="M45" s="1111"/>
      <c r="N45" s="1111"/>
    </row>
    <row r="46" spans="1:14">
      <c r="A46" s="1112"/>
      <c r="B46" s="1113"/>
      <c r="C46" s="1111"/>
      <c r="D46" s="1113"/>
      <c r="E46" s="1111"/>
      <c r="F46" s="407"/>
      <c r="G46" s="1111"/>
      <c r="H46" s="1111"/>
      <c r="I46" s="1111"/>
      <c r="J46" s="1111"/>
      <c r="K46" s="1111"/>
      <c r="L46" s="1111"/>
      <c r="M46" s="1111"/>
      <c r="N46" s="1111"/>
    </row>
    <row r="47" spans="1:14">
      <c r="A47" s="1112"/>
      <c r="B47" s="972" t="s">
        <v>105</v>
      </c>
      <c r="C47" s="974"/>
      <c r="D47" s="972"/>
      <c r="E47" s="974"/>
      <c r="F47" s="974" t="s">
        <v>106</v>
      </c>
      <c r="G47" s="1111"/>
      <c r="H47" s="974"/>
      <c r="I47" s="974"/>
      <c r="J47" s="974"/>
      <c r="K47" s="974" t="s">
        <v>107</v>
      </c>
      <c r="L47" s="1111"/>
      <c r="M47" s="1111"/>
      <c r="N47" s="1111"/>
    </row>
    <row r="48" spans="1:14" ht="13.5" thickBot="1">
      <c r="A48" s="1114"/>
      <c r="B48" s="1115"/>
      <c r="C48" s="1116"/>
      <c r="D48" s="1115"/>
      <c r="E48" s="1116"/>
      <c r="F48" s="1116"/>
      <c r="G48" s="1116"/>
      <c r="H48" s="1116"/>
      <c r="I48" s="1116"/>
      <c r="J48" s="1116"/>
      <c r="K48" s="1116"/>
      <c r="L48" s="1116"/>
      <c r="M48" s="1116"/>
      <c r="N48" s="1116"/>
    </row>
  </sheetData>
  <mergeCells count="34">
    <mergeCell ref="A2:N2"/>
    <mergeCell ref="A3:N3"/>
    <mergeCell ref="F4:F5"/>
    <mergeCell ref="G4:H5"/>
    <mergeCell ref="A7:A12"/>
    <mergeCell ref="B7:B12"/>
    <mergeCell ref="C7:C12"/>
    <mergeCell ref="E7:E12"/>
    <mergeCell ref="F7:F12"/>
    <mergeCell ref="G7:H7"/>
    <mergeCell ref="G11:H11"/>
    <mergeCell ref="I11:J11"/>
    <mergeCell ref="K11:L11"/>
    <mergeCell ref="M11:N11"/>
    <mergeCell ref="I7:J7"/>
    <mergeCell ref="K7:L7"/>
    <mergeCell ref="M7:N7"/>
    <mergeCell ref="G8:H9"/>
    <mergeCell ref="K8:L9"/>
    <mergeCell ref="M8:N9"/>
    <mergeCell ref="I9:J9"/>
    <mergeCell ref="G10:H10"/>
    <mergeCell ref="I10:J10"/>
    <mergeCell ref="K10:L10"/>
    <mergeCell ref="M10:N10"/>
    <mergeCell ref="Q10:R10"/>
    <mergeCell ref="E43:I44"/>
    <mergeCell ref="J43:N44"/>
    <mergeCell ref="A20:B20"/>
    <mergeCell ref="A22:B22"/>
    <mergeCell ref="A25:B25"/>
    <mergeCell ref="A29:B29"/>
    <mergeCell ref="A31:B31"/>
    <mergeCell ref="A43:C44"/>
  </mergeCells>
  <pageMargins left="0.25" right="0.25" top="0.75" bottom="0.75" header="0.3" footer="0.3"/>
  <pageSetup scale="5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topLeftCell="A5" workbookViewId="0">
      <selection activeCell="N21" sqref="N21"/>
    </sheetView>
  </sheetViews>
  <sheetFormatPr defaultRowHeight="15"/>
  <cols>
    <col min="1" max="1" width="4.5703125" style="501" bestFit="1" customWidth="1"/>
    <col min="2" max="2" width="11" style="501" bestFit="1" customWidth="1"/>
    <col min="3" max="3" width="10.7109375" style="501" bestFit="1" customWidth="1"/>
    <col min="4" max="5" width="9.140625" style="501"/>
    <col min="6" max="6" width="4.42578125" style="501" bestFit="1" customWidth="1"/>
    <col min="7" max="7" width="8.42578125" style="501" bestFit="1" customWidth="1"/>
    <col min="8" max="8" width="18.85546875" style="501" bestFit="1" customWidth="1"/>
    <col min="9" max="9" width="40.7109375" style="501" bestFit="1" customWidth="1"/>
    <col min="10" max="10" width="9.7109375" style="501" bestFit="1" customWidth="1"/>
    <col min="11" max="16384" width="9.140625" style="501"/>
  </cols>
  <sheetData>
    <row r="1" spans="1:11">
      <c r="A1" s="501" t="s">
        <v>402</v>
      </c>
      <c r="B1" s="501" t="s">
        <v>1466</v>
      </c>
      <c r="C1" s="941" t="s">
        <v>1467</v>
      </c>
      <c r="D1" s="941" t="s">
        <v>1468</v>
      </c>
      <c r="E1" s="941" t="s">
        <v>406</v>
      </c>
      <c r="F1" s="941" t="s">
        <v>1469</v>
      </c>
      <c r="G1" s="501" t="s">
        <v>404</v>
      </c>
      <c r="H1" s="501" t="s">
        <v>405</v>
      </c>
      <c r="I1" s="501" t="s">
        <v>1470</v>
      </c>
      <c r="J1" s="941" t="s">
        <v>1471</v>
      </c>
    </row>
    <row r="2" spans="1:11">
      <c r="A2" s="492" t="s">
        <v>423</v>
      </c>
      <c r="B2" s="492" t="s">
        <v>1472</v>
      </c>
      <c r="C2" s="499">
        <v>42520</v>
      </c>
      <c r="D2" s="500">
        <v>8.5</v>
      </c>
      <c r="E2" s="493">
        <v>1000</v>
      </c>
      <c r="F2" s="492" t="s">
        <v>99</v>
      </c>
      <c r="G2" s="492" t="s">
        <v>1473</v>
      </c>
      <c r="H2" s="492" t="s">
        <v>1474</v>
      </c>
      <c r="I2" s="492" t="s">
        <v>1475</v>
      </c>
      <c r="J2" s="493">
        <v>1000</v>
      </c>
    </row>
    <row r="3" spans="1:11">
      <c r="A3" s="492" t="s">
        <v>423</v>
      </c>
      <c r="B3" s="492" t="s">
        <v>1476</v>
      </c>
      <c r="C3" s="499">
        <v>42243</v>
      </c>
      <c r="D3" s="500">
        <v>16</v>
      </c>
      <c r="E3" s="493">
        <v>500</v>
      </c>
      <c r="F3" s="492" t="s">
        <v>99</v>
      </c>
      <c r="G3" s="492" t="s">
        <v>1473</v>
      </c>
      <c r="H3" s="492" t="s">
        <v>1474</v>
      </c>
      <c r="I3" s="492" t="s">
        <v>1477</v>
      </c>
      <c r="J3" s="493">
        <v>0</v>
      </c>
    </row>
    <row r="4" spans="1:11">
      <c r="A4" s="492" t="s">
        <v>423</v>
      </c>
      <c r="B4" s="492" t="s">
        <v>1478</v>
      </c>
      <c r="C4" s="499">
        <v>42044</v>
      </c>
      <c r="D4" s="500">
        <v>8.5</v>
      </c>
      <c r="E4" s="493">
        <v>2000</v>
      </c>
      <c r="F4" s="492" t="s">
        <v>99</v>
      </c>
      <c r="G4" s="492" t="s">
        <v>1473</v>
      </c>
      <c r="H4" s="492" t="s">
        <v>1474</v>
      </c>
      <c r="I4" s="492" t="s">
        <v>1475</v>
      </c>
      <c r="J4" s="493">
        <v>0</v>
      </c>
    </row>
    <row r="5" spans="1:11">
      <c r="A5" s="492" t="s">
        <v>423</v>
      </c>
      <c r="B5" s="492" t="s">
        <v>1479</v>
      </c>
      <c r="C5" s="499">
        <v>41895</v>
      </c>
      <c r="D5" s="500">
        <v>8.5</v>
      </c>
      <c r="E5" s="493">
        <v>500</v>
      </c>
      <c r="F5" s="492" t="s">
        <v>99</v>
      </c>
      <c r="G5" s="492" t="s">
        <v>1473</v>
      </c>
      <c r="H5" s="492" t="s">
        <v>1474</v>
      </c>
      <c r="I5" s="492" t="s">
        <v>1475</v>
      </c>
      <c r="J5" s="493">
        <v>0</v>
      </c>
    </row>
    <row r="6" spans="1:11">
      <c r="A6" s="492" t="s">
        <v>1480</v>
      </c>
      <c r="B6" s="492" t="s">
        <v>1481</v>
      </c>
      <c r="C6" s="499">
        <v>41925</v>
      </c>
      <c r="D6" s="500">
        <v>7800</v>
      </c>
      <c r="E6" s="493">
        <v>500</v>
      </c>
      <c r="F6" s="492" t="s">
        <v>99</v>
      </c>
      <c r="G6" s="492" t="s">
        <v>1473</v>
      </c>
      <c r="H6" s="492" t="s">
        <v>1474</v>
      </c>
      <c r="I6" s="492" t="s">
        <v>1482</v>
      </c>
      <c r="J6" s="493">
        <v>0</v>
      </c>
    </row>
    <row r="13" spans="1:11" ht="15.75" thickBot="1"/>
    <row r="14" spans="1:11" ht="15.75" thickBot="1">
      <c r="B14" s="1117" t="s">
        <v>402</v>
      </c>
      <c r="C14" s="1118" t="s">
        <v>403</v>
      </c>
      <c r="D14" s="1118" t="s">
        <v>4</v>
      </c>
      <c r="E14" s="1118" t="s">
        <v>404</v>
      </c>
      <c r="F14" s="1118" t="s">
        <v>405</v>
      </c>
      <c r="G14" s="1118" t="s">
        <v>406</v>
      </c>
      <c r="H14" s="1118" t="s">
        <v>407</v>
      </c>
      <c r="I14" s="1118" t="s">
        <v>1517</v>
      </c>
      <c r="J14" s="1118" t="s">
        <v>1518</v>
      </c>
      <c r="K14" s="1118" t="s">
        <v>1519</v>
      </c>
    </row>
    <row r="15" spans="1:11" ht="15.75" thickBot="1">
      <c r="B15" s="1119">
        <v>103</v>
      </c>
      <c r="C15" s="1120">
        <v>1100022982</v>
      </c>
      <c r="D15" s="1120">
        <v>10</v>
      </c>
      <c r="E15" s="1120">
        <v>1320835</v>
      </c>
      <c r="F15" s="1120" t="s">
        <v>1520</v>
      </c>
      <c r="G15" s="1121">
        <v>1</v>
      </c>
      <c r="H15" s="1120" t="s">
        <v>192</v>
      </c>
      <c r="I15" s="1120">
        <v>3000025756</v>
      </c>
      <c r="J15" s="1120" t="s">
        <v>1521</v>
      </c>
      <c r="K15" s="1122">
        <v>92000</v>
      </c>
    </row>
    <row r="16" spans="1:11" ht="15.75" thickBot="1">
      <c r="B16" s="1123"/>
      <c r="C16"/>
      <c r="D16"/>
      <c r="E16"/>
      <c r="F16"/>
      <c r="G16"/>
      <c r="H16"/>
      <c r="I16"/>
      <c r="J16"/>
      <c r="K16"/>
    </row>
    <row r="17" spans="2:14" ht="15.75" thickBot="1">
      <c r="B17" s="1117" t="s">
        <v>402</v>
      </c>
      <c r="C17" s="1118" t="s">
        <v>403</v>
      </c>
      <c r="D17" s="1118" t="s">
        <v>4</v>
      </c>
      <c r="E17" s="1118" t="s">
        <v>404</v>
      </c>
      <c r="F17" s="1118" t="s">
        <v>405</v>
      </c>
      <c r="G17" s="1118" t="s">
        <v>406</v>
      </c>
      <c r="H17" s="1118" t="s">
        <v>407</v>
      </c>
      <c r="I17" s="1118" t="s">
        <v>1517</v>
      </c>
      <c r="J17" s="1118" t="s">
        <v>1518</v>
      </c>
      <c r="K17" s="1118" t="s">
        <v>1519</v>
      </c>
    </row>
    <row r="18" spans="2:14" ht="15.75" thickBot="1">
      <c r="B18" s="1119">
        <v>103</v>
      </c>
      <c r="C18" s="1120">
        <v>1100023113</v>
      </c>
      <c r="D18" s="1120">
        <v>10</v>
      </c>
      <c r="E18" s="1120">
        <v>1316565</v>
      </c>
      <c r="F18" s="1120" t="s">
        <v>1522</v>
      </c>
      <c r="G18" s="1121">
        <v>5</v>
      </c>
      <c r="H18" s="1120" t="s">
        <v>192</v>
      </c>
      <c r="I18" s="1120">
        <v>3000000286</v>
      </c>
      <c r="J18" s="1120" t="s">
        <v>1523</v>
      </c>
      <c r="K18" s="1121">
        <v>2375</v>
      </c>
      <c r="L18" s="501">
        <v>2850</v>
      </c>
      <c r="M18" s="1125">
        <f>1-(K18/L18)</f>
        <v>0.16666666666666663</v>
      </c>
      <c r="N18" s="501">
        <f>(L18-K18)*G18</f>
        <v>2375</v>
      </c>
    </row>
    <row r="19" spans="2:14" ht="15.75" thickBot="1">
      <c r="B19" s="1119">
        <v>103</v>
      </c>
      <c r="C19" s="1120">
        <v>1100023113</v>
      </c>
      <c r="D19" s="1120">
        <v>20</v>
      </c>
      <c r="E19" s="1120">
        <v>1316567</v>
      </c>
      <c r="F19" s="1120" t="s">
        <v>1524</v>
      </c>
      <c r="G19" s="1121">
        <v>2</v>
      </c>
      <c r="H19" s="1120" t="s">
        <v>192</v>
      </c>
      <c r="I19" s="1120">
        <v>3000000286</v>
      </c>
      <c r="J19" s="1120" t="s">
        <v>1523</v>
      </c>
      <c r="K19" s="1121">
        <v>3040</v>
      </c>
      <c r="L19" s="501">
        <v>3650</v>
      </c>
      <c r="M19" s="1125">
        <f>1-(K19/L19)</f>
        <v>0.16712328767123286</v>
      </c>
      <c r="N19" s="501">
        <f>(L19-K19)*G19</f>
        <v>1220</v>
      </c>
    </row>
    <row r="20" spans="2:14" ht="15.75" thickBot="1">
      <c r="B20" s="1119">
        <v>103</v>
      </c>
      <c r="C20" s="1120">
        <v>1100023113</v>
      </c>
      <c r="D20" s="1120">
        <v>30</v>
      </c>
      <c r="E20" s="1120">
        <v>1316568</v>
      </c>
      <c r="F20" s="1120" t="s">
        <v>1525</v>
      </c>
      <c r="G20" s="1121">
        <v>2</v>
      </c>
      <c r="H20" s="1120" t="s">
        <v>192</v>
      </c>
      <c r="I20" s="1120">
        <v>3000000286</v>
      </c>
      <c r="J20" s="1120" t="s">
        <v>1523</v>
      </c>
      <c r="K20" s="1121">
        <v>3325</v>
      </c>
      <c r="L20" s="501">
        <v>3990</v>
      </c>
      <c r="M20" s="1125">
        <f>1-(K20/L20)</f>
        <v>0.16666666666666663</v>
      </c>
      <c r="N20" s="501">
        <f>(L20-K20)*G20</f>
        <v>1330</v>
      </c>
    </row>
    <row r="21" spans="2:14">
      <c r="M21" s="501" t="s">
        <v>1533</v>
      </c>
      <c r="N21" s="1142">
        <f>SUM(N18:N20)</f>
        <v>4925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15"/>
  <sheetViews>
    <sheetView topLeftCell="A10" workbookViewId="0">
      <selection activeCell="C11" sqref="C11"/>
    </sheetView>
  </sheetViews>
  <sheetFormatPr defaultRowHeight="15"/>
  <cols>
    <col min="1" max="2" width="9.140625" style="921"/>
    <col min="3" max="3" width="26.5703125" style="921" customWidth="1"/>
    <col min="4" max="4" width="24.5703125" style="921" customWidth="1"/>
    <col min="5" max="5" width="13" style="921" customWidth="1"/>
    <col min="6" max="6" width="11.42578125" style="921" customWidth="1"/>
    <col min="7" max="7" width="12.5703125" style="921" customWidth="1"/>
    <col min="8" max="16384" width="9.140625" style="921"/>
  </cols>
  <sheetData>
    <row r="2" spans="3:10" ht="15.75" thickBot="1"/>
    <row r="3" spans="3:10" ht="16.5" thickBot="1">
      <c r="C3" s="1853" t="s">
        <v>1444</v>
      </c>
      <c r="D3" s="1854"/>
      <c r="E3" s="1854"/>
      <c r="F3" s="1854"/>
      <c r="G3" s="1855"/>
    </row>
    <row r="4" spans="3:10" ht="31.5">
      <c r="C4" s="922"/>
      <c r="D4" s="922" t="s">
        <v>1445</v>
      </c>
      <c r="E4" s="922" t="s">
        <v>1446</v>
      </c>
      <c r="F4" s="922" t="s">
        <v>1447</v>
      </c>
      <c r="G4" s="923" t="s">
        <v>1448</v>
      </c>
      <c r="I4" s="921">
        <f>19.05-2.11</f>
        <v>16.940000000000001</v>
      </c>
      <c r="J4" s="924">
        <f>0.05467*1*0.001651*8000</f>
        <v>0.72208136000000001</v>
      </c>
    </row>
    <row r="5" spans="3:10" ht="31.5">
      <c r="C5" s="925" t="s">
        <v>1449</v>
      </c>
      <c r="D5" s="926" t="s">
        <v>1450</v>
      </c>
      <c r="E5" s="927">
        <f>0.9*0.9*0.035*8000*2</f>
        <v>453.60000000000008</v>
      </c>
      <c r="F5" s="928">
        <v>55</v>
      </c>
      <c r="G5" s="929">
        <f>E5*F5</f>
        <v>24948.000000000004</v>
      </c>
      <c r="I5" s="921">
        <f>(I4*3.142)/1000</f>
        <v>5.3225480000000006E-2</v>
      </c>
      <c r="J5" s="921">
        <f>352/J4</f>
        <v>487.47969342402081</v>
      </c>
    </row>
    <row r="6" spans="3:10" ht="63">
      <c r="C6" s="925" t="s">
        <v>1451</v>
      </c>
      <c r="D6" s="926" t="s">
        <v>1452</v>
      </c>
      <c r="E6" s="930">
        <f>0.05322*1*0.00211*8000*6*535</f>
        <v>2883.7150560000005</v>
      </c>
      <c r="F6" s="926">
        <v>113.541</v>
      </c>
      <c r="G6" s="929">
        <f>102*6*535</f>
        <v>327420</v>
      </c>
      <c r="I6" s="930">
        <f>0.05322*1*0.00211*8000*1*1</f>
        <v>0.89835360000000009</v>
      </c>
      <c r="J6" s="921">
        <f>102/I6</f>
        <v>113.54103773836938</v>
      </c>
    </row>
    <row r="7" spans="3:10" ht="31.5">
      <c r="C7" s="925" t="s">
        <v>1453</v>
      </c>
      <c r="D7" s="926" t="s">
        <v>1450</v>
      </c>
      <c r="E7" s="924">
        <f>0.008*0.75*0.75*8000*14</f>
        <v>504.00000000000011</v>
      </c>
      <c r="F7" s="928">
        <v>55</v>
      </c>
      <c r="G7" s="929">
        <f>E7*F7</f>
        <v>27720.000000000007</v>
      </c>
    </row>
    <row r="8" spans="3:10" ht="15.75">
      <c r="C8" s="925" t="s">
        <v>1454</v>
      </c>
      <c r="D8" s="926" t="s">
        <v>1455</v>
      </c>
      <c r="E8" s="931">
        <f>I8*I9*6.5*6*8000</f>
        <v>48.03489600000001</v>
      </c>
      <c r="F8" s="928">
        <v>45</v>
      </c>
      <c r="G8" s="929">
        <f>E8*F8</f>
        <v>2161.5703200000003</v>
      </c>
      <c r="I8" s="921">
        <f>3.142/4</f>
        <v>0.78549999999999998</v>
      </c>
    </row>
    <row r="9" spans="3:10" ht="47.25">
      <c r="C9" s="925" t="s">
        <v>1456</v>
      </c>
      <c r="D9" s="925"/>
      <c r="E9" s="925"/>
      <c r="F9" s="926"/>
      <c r="G9" s="929">
        <v>3000</v>
      </c>
      <c r="I9" s="921">
        <f>0.014*0.014</f>
        <v>1.9600000000000002E-4</v>
      </c>
    </row>
    <row r="10" spans="3:10" ht="15.75">
      <c r="C10" s="932" t="s">
        <v>1457</v>
      </c>
      <c r="D10" s="925"/>
      <c r="E10" s="933">
        <f>SUM(E5:E9)</f>
        <v>3889.3499520000005</v>
      </c>
      <c r="F10" s="934">
        <f>G10/E10</f>
        <v>99.052431659407532</v>
      </c>
      <c r="G10" s="929">
        <f>SUM(G5:G9)</f>
        <v>385249.57032</v>
      </c>
    </row>
    <row r="11" spans="3:10" ht="63">
      <c r="C11" s="922" t="s">
        <v>1458</v>
      </c>
      <c r="D11" s="923" t="s">
        <v>1459</v>
      </c>
      <c r="E11" s="935" t="s">
        <v>1460</v>
      </c>
      <c r="F11" s="936">
        <f>G11/E10</f>
        <v>133.72078274020018</v>
      </c>
      <c r="G11" s="937">
        <f>G10*1.35</f>
        <v>520086.91993200005</v>
      </c>
    </row>
    <row r="12" spans="3:10" ht="47.25">
      <c r="C12" s="938"/>
      <c r="D12" s="939" t="s">
        <v>1461</v>
      </c>
      <c r="E12" s="938"/>
      <c r="F12" s="938"/>
      <c r="G12" s="938"/>
    </row>
    <row r="13" spans="3:10" ht="15.75">
      <c r="C13" s="938"/>
      <c r="D13" s="939" t="s">
        <v>1462</v>
      </c>
      <c r="E13" s="938"/>
      <c r="F13" s="938"/>
      <c r="G13" s="938"/>
    </row>
    <row r="14" spans="3:10" ht="47.25">
      <c r="C14" s="938"/>
      <c r="D14" s="939" t="s">
        <v>1463</v>
      </c>
      <c r="E14" s="938"/>
      <c r="F14" s="938"/>
      <c r="G14" s="938"/>
    </row>
    <row r="15" spans="3:10" ht="63">
      <c r="C15" s="938"/>
      <c r="D15" s="939" t="s">
        <v>1464</v>
      </c>
      <c r="E15" s="938"/>
      <c r="F15" s="938"/>
      <c r="G15" s="938"/>
    </row>
  </sheetData>
  <mergeCells count="1">
    <mergeCell ref="C3:G3"/>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topLeftCell="B4" zoomScaleNormal="100" workbookViewId="0">
      <selection activeCell="C11" sqref="C11"/>
    </sheetView>
  </sheetViews>
  <sheetFormatPr defaultRowHeight="12.75"/>
  <cols>
    <col min="1" max="1" width="6.140625" style="9" customWidth="1"/>
    <col min="2" max="2" width="52.7109375" style="209" customWidth="1"/>
    <col min="3" max="3" width="15.7109375" style="209" customWidth="1"/>
    <col min="4" max="4" width="12.5703125" style="209" customWidth="1"/>
    <col min="5" max="5" width="16" style="9" customWidth="1"/>
    <col min="6" max="6" width="6.140625" style="9" customWidth="1"/>
    <col min="7" max="7" width="12.7109375" style="9" customWidth="1"/>
    <col min="8" max="8" width="21.85546875" style="9" hidden="1" customWidth="1"/>
    <col min="9" max="9" width="19.140625" style="9" hidden="1" customWidth="1"/>
    <col min="10" max="10" width="21.85546875" style="9" customWidth="1"/>
    <col min="11" max="11" width="19.140625" style="9" customWidth="1"/>
    <col min="12" max="12" width="21.85546875" style="9" customWidth="1"/>
    <col min="13" max="13" width="19.140625" style="9" customWidth="1"/>
    <col min="14" max="14" width="17.5703125" style="9" customWidth="1"/>
    <col min="15" max="15" width="18.42578125" style="9" customWidth="1"/>
    <col min="16" max="16" width="12.42578125" style="9" bestFit="1" customWidth="1"/>
    <col min="17" max="17" width="11.140625" style="9" bestFit="1" customWidth="1"/>
    <col min="18" max="18" width="9.140625" style="9"/>
    <col min="19" max="19" width="11" style="9" bestFit="1" customWidth="1"/>
    <col min="20" max="254" width="9.140625" style="9"/>
    <col min="255" max="255" width="4" style="9" customWidth="1"/>
    <col min="256" max="256" width="30.7109375" style="9" customWidth="1"/>
    <col min="257" max="258" width="10" style="9" customWidth="1"/>
    <col min="259" max="259" width="9.85546875" style="9" customWidth="1"/>
    <col min="260" max="260" width="12.42578125" style="9" customWidth="1"/>
    <col min="261" max="266" width="12.7109375" style="9" customWidth="1"/>
    <col min="267" max="267" width="13" style="9" customWidth="1"/>
    <col min="268" max="269" width="12.7109375" style="9" customWidth="1"/>
    <col min="270" max="270" width="9.140625" style="9"/>
    <col min="271" max="271" width="11.140625" style="9" bestFit="1" customWidth="1"/>
    <col min="272" max="510" width="9.140625" style="9"/>
    <col min="511" max="511" width="4" style="9" customWidth="1"/>
    <col min="512" max="512" width="30.7109375" style="9" customWidth="1"/>
    <col min="513" max="514" width="10" style="9" customWidth="1"/>
    <col min="515" max="515" width="9.85546875" style="9" customWidth="1"/>
    <col min="516" max="516" width="12.42578125" style="9" customWidth="1"/>
    <col min="517" max="522" width="12.7109375" style="9" customWidth="1"/>
    <col min="523" max="523" width="13" style="9" customWidth="1"/>
    <col min="524" max="525" width="12.7109375" style="9" customWidth="1"/>
    <col min="526" max="526" width="9.140625" style="9"/>
    <col min="527" max="527" width="11.140625" style="9" bestFit="1" customWidth="1"/>
    <col min="528" max="766" width="9.140625" style="9"/>
    <col min="767" max="767" width="4" style="9" customWidth="1"/>
    <col min="768" max="768" width="30.7109375" style="9" customWidth="1"/>
    <col min="769" max="770" width="10" style="9" customWidth="1"/>
    <col min="771" max="771" width="9.85546875" style="9" customWidth="1"/>
    <col min="772" max="772" width="12.42578125" style="9" customWidth="1"/>
    <col min="773" max="778" width="12.7109375" style="9" customWidth="1"/>
    <col min="779" max="779" width="13" style="9" customWidth="1"/>
    <col min="780" max="781" width="12.7109375" style="9" customWidth="1"/>
    <col min="782" max="782" width="9.140625" style="9"/>
    <col min="783" max="783" width="11.140625" style="9" bestFit="1" customWidth="1"/>
    <col min="784" max="1022" width="9.140625" style="9"/>
    <col min="1023" max="1023" width="4" style="9" customWidth="1"/>
    <col min="1024" max="1024" width="30.7109375" style="9" customWidth="1"/>
    <col min="1025" max="1026" width="10" style="9" customWidth="1"/>
    <col min="1027" max="1027" width="9.85546875" style="9" customWidth="1"/>
    <col min="1028" max="1028" width="12.42578125" style="9" customWidth="1"/>
    <col min="1029" max="1034" width="12.7109375" style="9" customWidth="1"/>
    <col min="1035" max="1035" width="13" style="9" customWidth="1"/>
    <col min="1036" max="1037" width="12.7109375" style="9" customWidth="1"/>
    <col min="1038" max="1038" width="9.140625" style="9"/>
    <col min="1039" max="1039" width="11.140625" style="9" bestFit="1" customWidth="1"/>
    <col min="1040" max="1278" width="9.140625" style="9"/>
    <col min="1279" max="1279" width="4" style="9" customWidth="1"/>
    <col min="1280" max="1280" width="30.7109375" style="9" customWidth="1"/>
    <col min="1281" max="1282" width="10" style="9" customWidth="1"/>
    <col min="1283" max="1283" width="9.85546875" style="9" customWidth="1"/>
    <col min="1284" max="1284" width="12.42578125" style="9" customWidth="1"/>
    <col min="1285" max="1290" width="12.7109375" style="9" customWidth="1"/>
    <col min="1291" max="1291" width="13" style="9" customWidth="1"/>
    <col min="1292" max="1293" width="12.7109375" style="9" customWidth="1"/>
    <col min="1294" max="1294" width="9.140625" style="9"/>
    <col min="1295" max="1295" width="11.140625" style="9" bestFit="1" customWidth="1"/>
    <col min="1296" max="1534" width="9.140625" style="9"/>
    <col min="1535" max="1535" width="4" style="9" customWidth="1"/>
    <col min="1536" max="1536" width="30.7109375" style="9" customWidth="1"/>
    <col min="1537" max="1538" width="10" style="9" customWidth="1"/>
    <col min="1539" max="1539" width="9.85546875" style="9" customWidth="1"/>
    <col min="1540" max="1540" width="12.42578125" style="9" customWidth="1"/>
    <col min="1541" max="1546" width="12.7109375" style="9" customWidth="1"/>
    <col min="1547" max="1547" width="13" style="9" customWidth="1"/>
    <col min="1548" max="1549" width="12.7109375" style="9" customWidth="1"/>
    <col min="1550" max="1550" width="9.140625" style="9"/>
    <col min="1551" max="1551" width="11.140625" style="9" bestFit="1" customWidth="1"/>
    <col min="1552" max="1790" width="9.140625" style="9"/>
    <col min="1791" max="1791" width="4" style="9" customWidth="1"/>
    <col min="1792" max="1792" width="30.7109375" style="9" customWidth="1"/>
    <col min="1793" max="1794" width="10" style="9" customWidth="1"/>
    <col min="1795" max="1795" width="9.85546875" style="9" customWidth="1"/>
    <col min="1796" max="1796" width="12.42578125" style="9" customWidth="1"/>
    <col min="1797" max="1802" width="12.7109375" style="9" customWidth="1"/>
    <col min="1803" max="1803" width="13" style="9" customWidth="1"/>
    <col min="1804" max="1805" width="12.7109375" style="9" customWidth="1"/>
    <col min="1806" max="1806" width="9.140625" style="9"/>
    <col min="1807" max="1807" width="11.140625" style="9" bestFit="1" customWidth="1"/>
    <col min="1808" max="2046" width="9.140625" style="9"/>
    <col min="2047" max="2047" width="4" style="9" customWidth="1"/>
    <col min="2048" max="2048" width="30.7109375" style="9" customWidth="1"/>
    <col min="2049" max="2050" width="10" style="9" customWidth="1"/>
    <col min="2051" max="2051" width="9.85546875" style="9" customWidth="1"/>
    <col min="2052" max="2052" width="12.42578125" style="9" customWidth="1"/>
    <col min="2053" max="2058" width="12.7109375" style="9" customWidth="1"/>
    <col min="2059" max="2059" width="13" style="9" customWidth="1"/>
    <col min="2060" max="2061" width="12.7109375" style="9" customWidth="1"/>
    <col min="2062" max="2062" width="9.140625" style="9"/>
    <col min="2063" max="2063" width="11.140625" style="9" bestFit="1" customWidth="1"/>
    <col min="2064" max="2302" width="9.140625" style="9"/>
    <col min="2303" max="2303" width="4" style="9" customWidth="1"/>
    <col min="2304" max="2304" width="30.7109375" style="9" customWidth="1"/>
    <col min="2305" max="2306" width="10" style="9" customWidth="1"/>
    <col min="2307" max="2307" width="9.85546875" style="9" customWidth="1"/>
    <col min="2308" max="2308" width="12.42578125" style="9" customWidth="1"/>
    <col min="2309" max="2314" width="12.7109375" style="9" customWidth="1"/>
    <col min="2315" max="2315" width="13" style="9" customWidth="1"/>
    <col min="2316" max="2317" width="12.7109375" style="9" customWidth="1"/>
    <col min="2318" max="2318" width="9.140625" style="9"/>
    <col min="2319" max="2319" width="11.140625" style="9" bestFit="1" customWidth="1"/>
    <col min="2320" max="2558" width="9.140625" style="9"/>
    <col min="2559" max="2559" width="4" style="9" customWidth="1"/>
    <col min="2560" max="2560" width="30.7109375" style="9" customWidth="1"/>
    <col min="2561" max="2562" width="10" style="9" customWidth="1"/>
    <col min="2563" max="2563" width="9.85546875" style="9" customWidth="1"/>
    <col min="2564" max="2564" width="12.42578125" style="9" customWidth="1"/>
    <col min="2565" max="2570" width="12.7109375" style="9" customWidth="1"/>
    <col min="2571" max="2571" width="13" style="9" customWidth="1"/>
    <col min="2572" max="2573" width="12.7109375" style="9" customWidth="1"/>
    <col min="2574" max="2574" width="9.140625" style="9"/>
    <col min="2575" max="2575" width="11.140625" style="9" bestFit="1" customWidth="1"/>
    <col min="2576" max="2814" width="9.140625" style="9"/>
    <col min="2815" max="2815" width="4" style="9" customWidth="1"/>
    <col min="2816" max="2816" width="30.7109375" style="9" customWidth="1"/>
    <col min="2817" max="2818" width="10" style="9" customWidth="1"/>
    <col min="2819" max="2819" width="9.85546875" style="9" customWidth="1"/>
    <col min="2820" max="2820" width="12.42578125" style="9" customWidth="1"/>
    <col min="2821" max="2826" width="12.7109375" style="9" customWidth="1"/>
    <col min="2827" max="2827" width="13" style="9" customWidth="1"/>
    <col min="2828" max="2829" width="12.7109375" style="9" customWidth="1"/>
    <col min="2830" max="2830" width="9.140625" style="9"/>
    <col min="2831" max="2831" width="11.140625" style="9" bestFit="1" customWidth="1"/>
    <col min="2832" max="3070" width="9.140625" style="9"/>
    <col min="3071" max="3071" width="4" style="9" customWidth="1"/>
    <col min="3072" max="3072" width="30.7109375" style="9" customWidth="1"/>
    <col min="3073" max="3074" width="10" style="9" customWidth="1"/>
    <col min="3075" max="3075" width="9.85546875" style="9" customWidth="1"/>
    <col min="3076" max="3076" width="12.42578125" style="9" customWidth="1"/>
    <col min="3077" max="3082" width="12.7109375" style="9" customWidth="1"/>
    <col min="3083" max="3083" width="13" style="9" customWidth="1"/>
    <col min="3084" max="3085" width="12.7109375" style="9" customWidth="1"/>
    <col min="3086" max="3086" width="9.140625" style="9"/>
    <col min="3087" max="3087" width="11.140625" style="9" bestFit="1" customWidth="1"/>
    <col min="3088" max="3326" width="9.140625" style="9"/>
    <col min="3327" max="3327" width="4" style="9" customWidth="1"/>
    <col min="3328" max="3328" width="30.7109375" style="9" customWidth="1"/>
    <col min="3329" max="3330" width="10" style="9" customWidth="1"/>
    <col min="3331" max="3331" width="9.85546875" style="9" customWidth="1"/>
    <col min="3332" max="3332" width="12.42578125" style="9" customWidth="1"/>
    <col min="3333" max="3338" width="12.7109375" style="9" customWidth="1"/>
    <col min="3339" max="3339" width="13" style="9" customWidth="1"/>
    <col min="3340" max="3341" width="12.7109375" style="9" customWidth="1"/>
    <col min="3342" max="3342" width="9.140625" style="9"/>
    <col min="3343" max="3343" width="11.140625" style="9" bestFit="1" customWidth="1"/>
    <col min="3344" max="3582" width="9.140625" style="9"/>
    <col min="3583" max="3583" width="4" style="9" customWidth="1"/>
    <col min="3584" max="3584" width="30.7109375" style="9" customWidth="1"/>
    <col min="3585" max="3586" width="10" style="9" customWidth="1"/>
    <col min="3587" max="3587" width="9.85546875" style="9" customWidth="1"/>
    <col min="3588" max="3588" width="12.42578125" style="9" customWidth="1"/>
    <col min="3589" max="3594" width="12.7109375" style="9" customWidth="1"/>
    <col min="3595" max="3595" width="13" style="9" customWidth="1"/>
    <col min="3596" max="3597" width="12.7109375" style="9" customWidth="1"/>
    <col min="3598" max="3598" width="9.140625" style="9"/>
    <col min="3599" max="3599" width="11.140625" style="9" bestFit="1" customWidth="1"/>
    <col min="3600" max="3838" width="9.140625" style="9"/>
    <col min="3839" max="3839" width="4" style="9" customWidth="1"/>
    <col min="3840" max="3840" width="30.7109375" style="9" customWidth="1"/>
    <col min="3841" max="3842" width="10" style="9" customWidth="1"/>
    <col min="3843" max="3843" width="9.85546875" style="9" customWidth="1"/>
    <col min="3844" max="3844" width="12.42578125" style="9" customWidth="1"/>
    <col min="3845" max="3850" width="12.7109375" style="9" customWidth="1"/>
    <col min="3851" max="3851" width="13" style="9" customWidth="1"/>
    <col min="3852" max="3853" width="12.7109375" style="9" customWidth="1"/>
    <col min="3854" max="3854" width="9.140625" style="9"/>
    <col min="3855" max="3855" width="11.140625" style="9" bestFit="1" customWidth="1"/>
    <col min="3856" max="4094" width="9.140625" style="9"/>
    <col min="4095" max="4095" width="4" style="9" customWidth="1"/>
    <col min="4096" max="4096" width="30.7109375" style="9" customWidth="1"/>
    <col min="4097" max="4098" width="10" style="9" customWidth="1"/>
    <col min="4099" max="4099" width="9.85546875" style="9" customWidth="1"/>
    <col min="4100" max="4100" width="12.42578125" style="9" customWidth="1"/>
    <col min="4101" max="4106" width="12.7109375" style="9" customWidth="1"/>
    <col min="4107" max="4107" width="13" style="9" customWidth="1"/>
    <col min="4108" max="4109" width="12.7109375" style="9" customWidth="1"/>
    <col min="4110" max="4110" width="9.140625" style="9"/>
    <col min="4111" max="4111" width="11.140625" style="9" bestFit="1" customWidth="1"/>
    <col min="4112" max="4350" width="9.140625" style="9"/>
    <col min="4351" max="4351" width="4" style="9" customWidth="1"/>
    <col min="4352" max="4352" width="30.7109375" style="9" customWidth="1"/>
    <col min="4353" max="4354" width="10" style="9" customWidth="1"/>
    <col min="4355" max="4355" width="9.85546875" style="9" customWidth="1"/>
    <col min="4356" max="4356" width="12.42578125" style="9" customWidth="1"/>
    <col min="4357" max="4362" width="12.7109375" style="9" customWidth="1"/>
    <col min="4363" max="4363" width="13" style="9" customWidth="1"/>
    <col min="4364" max="4365" width="12.7109375" style="9" customWidth="1"/>
    <col min="4366" max="4366" width="9.140625" style="9"/>
    <col min="4367" max="4367" width="11.140625" style="9" bestFit="1" customWidth="1"/>
    <col min="4368" max="4606" width="9.140625" style="9"/>
    <col min="4607" max="4607" width="4" style="9" customWidth="1"/>
    <col min="4608" max="4608" width="30.7109375" style="9" customWidth="1"/>
    <col min="4609" max="4610" width="10" style="9" customWidth="1"/>
    <col min="4611" max="4611" width="9.85546875" style="9" customWidth="1"/>
    <col min="4612" max="4612" width="12.42578125" style="9" customWidth="1"/>
    <col min="4613" max="4618" width="12.7109375" style="9" customWidth="1"/>
    <col min="4619" max="4619" width="13" style="9" customWidth="1"/>
    <col min="4620" max="4621" width="12.7109375" style="9" customWidth="1"/>
    <col min="4622" max="4622" width="9.140625" style="9"/>
    <col min="4623" max="4623" width="11.140625" style="9" bestFit="1" customWidth="1"/>
    <col min="4624" max="4862" width="9.140625" style="9"/>
    <col min="4863" max="4863" width="4" style="9" customWidth="1"/>
    <col min="4864" max="4864" width="30.7109375" style="9" customWidth="1"/>
    <col min="4865" max="4866" width="10" style="9" customWidth="1"/>
    <col min="4867" max="4867" width="9.85546875" style="9" customWidth="1"/>
    <col min="4868" max="4868" width="12.42578125" style="9" customWidth="1"/>
    <col min="4869" max="4874" width="12.7109375" style="9" customWidth="1"/>
    <col min="4875" max="4875" width="13" style="9" customWidth="1"/>
    <col min="4876" max="4877" width="12.7109375" style="9" customWidth="1"/>
    <col min="4878" max="4878" width="9.140625" style="9"/>
    <col min="4879" max="4879" width="11.140625" style="9" bestFit="1" customWidth="1"/>
    <col min="4880" max="5118" width="9.140625" style="9"/>
    <col min="5119" max="5119" width="4" style="9" customWidth="1"/>
    <col min="5120" max="5120" width="30.7109375" style="9" customWidth="1"/>
    <col min="5121" max="5122" width="10" style="9" customWidth="1"/>
    <col min="5123" max="5123" width="9.85546875" style="9" customWidth="1"/>
    <col min="5124" max="5124" width="12.42578125" style="9" customWidth="1"/>
    <col min="5125" max="5130" width="12.7109375" style="9" customWidth="1"/>
    <col min="5131" max="5131" width="13" style="9" customWidth="1"/>
    <col min="5132" max="5133" width="12.7109375" style="9" customWidth="1"/>
    <col min="5134" max="5134" width="9.140625" style="9"/>
    <col min="5135" max="5135" width="11.140625" style="9" bestFit="1" customWidth="1"/>
    <col min="5136" max="5374" width="9.140625" style="9"/>
    <col min="5375" max="5375" width="4" style="9" customWidth="1"/>
    <col min="5376" max="5376" width="30.7109375" style="9" customWidth="1"/>
    <col min="5377" max="5378" width="10" style="9" customWidth="1"/>
    <col min="5379" max="5379" width="9.85546875" style="9" customWidth="1"/>
    <col min="5380" max="5380" width="12.42578125" style="9" customWidth="1"/>
    <col min="5381" max="5386" width="12.7109375" style="9" customWidth="1"/>
    <col min="5387" max="5387" width="13" style="9" customWidth="1"/>
    <col min="5388" max="5389" width="12.7109375" style="9" customWidth="1"/>
    <col min="5390" max="5390" width="9.140625" style="9"/>
    <col min="5391" max="5391" width="11.140625" style="9" bestFit="1" customWidth="1"/>
    <col min="5392" max="5630" width="9.140625" style="9"/>
    <col min="5631" max="5631" width="4" style="9" customWidth="1"/>
    <col min="5632" max="5632" width="30.7109375" style="9" customWidth="1"/>
    <col min="5633" max="5634" width="10" style="9" customWidth="1"/>
    <col min="5635" max="5635" width="9.85546875" style="9" customWidth="1"/>
    <col min="5636" max="5636" width="12.42578125" style="9" customWidth="1"/>
    <col min="5637" max="5642" width="12.7109375" style="9" customWidth="1"/>
    <col min="5643" max="5643" width="13" style="9" customWidth="1"/>
    <col min="5644" max="5645" width="12.7109375" style="9" customWidth="1"/>
    <col min="5646" max="5646" width="9.140625" style="9"/>
    <col min="5647" max="5647" width="11.140625" style="9" bestFit="1" customWidth="1"/>
    <col min="5648" max="5886" width="9.140625" style="9"/>
    <col min="5887" max="5887" width="4" style="9" customWidth="1"/>
    <col min="5888" max="5888" width="30.7109375" style="9" customWidth="1"/>
    <col min="5889" max="5890" width="10" style="9" customWidth="1"/>
    <col min="5891" max="5891" width="9.85546875" style="9" customWidth="1"/>
    <col min="5892" max="5892" width="12.42578125" style="9" customWidth="1"/>
    <col min="5893" max="5898" width="12.7109375" style="9" customWidth="1"/>
    <col min="5899" max="5899" width="13" style="9" customWidth="1"/>
    <col min="5900" max="5901" width="12.7109375" style="9" customWidth="1"/>
    <col min="5902" max="5902" width="9.140625" style="9"/>
    <col min="5903" max="5903" width="11.140625" style="9" bestFit="1" customWidth="1"/>
    <col min="5904" max="6142" width="9.140625" style="9"/>
    <col min="6143" max="6143" width="4" style="9" customWidth="1"/>
    <col min="6144" max="6144" width="30.7109375" style="9" customWidth="1"/>
    <col min="6145" max="6146" width="10" style="9" customWidth="1"/>
    <col min="6147" max="6147" width="9.85546875" style="9" customWidth="1"/>
    <col min="6148" max="6148" width="12.42578125" style="9" customWidth="1"/>
    <col min="6149" max="6154" width="12.7109375" style="9" customWidth="1"/>
    <col min="6155" max="6155" width="13" style="9" customWidth="1"/>
    <col min="6156" max="6157" width="12.7109375" style="9" customWidth="1"/>
    <col min="6158" max="6158" width="9.140625" style="9"/>
    <col min="6159" max="6159" width="11.140625" style="9" bestFit="1" customWidth="1"/>
    <col min="6160" max="6398" width="9.140625" style="9"/>
    <col min="6399" max="6399" width="4" style="9" customWidth="1"/>
    <col min="6400" max="6400" width="30.7109375" style="9" customWidth="1"/>
    <col min="6401" max="6402" width="10" style="9" customWidth="1"/>
    <col min="6403" max="6403" width="9.85546875" style="9" customWidth="1"/>
    <col min="6404" max="6404" width="12.42578125" style="9" customWidth="1"/>
    <col min="6405" max="6410" width="12.7109375" style="9" customWidth="1"/>
    <col min="6411" max="6411" width="13" style="9" customWidth="1"/>
    <col min="6412" max="6413" width="12.7109375" style="9" customWidth="1"/>
    <col min="6414" max="6414" width="9.140625" style="9"/>
    <col min="6415" max="6415" width="11.140625" style="9" bestFit="1" customWidth="1"/>
    <col min="6416" max="6654" width="9.140625" style="9"/>
    <col min="6655" max="6655" width="4" style="9" customWidth="1"/>
    <col min="6656" max="6656" width="30.7109375" style="9" customWidth="1"/>
    <col min="6657" max="6658" width="10" style="9" customWidth="1"/>
    <col min="6659" max="6659" width="9.85546875" style="9" customWidth="1"/>
    <col min="6660" max="6660" width="12.42578125" style="9" customWidth="1"/>
    <col min="6661" max="6666" width="12.7109375" style="9" customWidth="1"/>
    <col min="6667" max="6667" width="13" style="9" customWidth="1"/>
    <col min="6668" max="6669" width="12.7109375" style="9" customWidth="1"/>
    <col min="6670" max="6670" width="9.140625" style="9"/>
    <col min="6671" max="6671" width="11.140625" style="9" bestFit="1" customWidth="1"/>
    <col min="6672" max="6910" width="9.140625" style="9"/>
    <col min="6911" max="6911" width="4" style="9" customWidth="1"/>
    <col min="6912" max="6912" width="30.7109375" style="9" customWidth="1"/>
    <col min="6913" max="6914" width="10" style="9" customWidth="1"/>
    <col min="6915" max="6915" width="9.85546875" style="9" customWidth="1"/>
    <col min="6916" max="6916" width="12.42578125" style="9" customWidth="1"/>
    <col min="6917" max="6922" width="12.7109375" style="9" customWidth="1"/>
    <col min="6923" max="6923" width="13" style="9" customWidth="1"/>
    <col min="6924" max="6925" width="12.7109375" style="9" customWidth="1"/>
    <col min="6926" max="6926" width="9.140625" style="9"/>
    <col min="6927" max="6927" width="11.140625" style="9" bestFit="1" customWidth="1"/>
    <col min="6928" max="7166" width="9.140625" style="9"/>
    <col min="7167" max="7167" width="4" style="9" customWidth="1"/>
    <col min="7168" max="7168" width="30.7109375" style="9" customWidth="1"/>
    <col min="7169" max="7170" width="10" style="9" customWidth="1"/>
    <col min="7171" max="7171" width="9.85546875" style="9" customWidth="1"/>
    <col min="7172" max="7172" width="12.42578125" style="9" customWidth="1"/>
    <col min="7173" max="7178" width="12.7109375" style="9" customWidth="1"/>
    <col min="7179" max="7179" width="13" style="9" customWidth="1"/>
    <col min="7180" max="7181" width="12.7109375" style="9" customWidth="1"/>
    <col min="7182" max="7182" width="9.140625" style="9"/>
    <col min="7183" max="7183" width="11.140625" style="9" bestFit="1" customWidth="1"/>
    <col min="7184" max="7422" width="9.140625" style="9"/>
    <col min="7423" max="7423" width="4" style="9" customWidth="1"/>
    <col min="7424" max="7424" width="30.7109375" style="9" customWidth="1"/>
    <col min="7425" max="7426" width="10" style="9" customWidth="1"/>
    <col min="7427" max="7427" width="9.85546875" style="9" customWidth="1"/>
    <col min="7428" max="7428" width="12.42578125" style="9" customWidth="1"/>
    <col min="7429" max="7434" width="12.7109375" style="9" customWidth="1"/>
    <col min="7435" max="7435" width="13" style="9" customWidth="1"/>
    <col min="7436" max="7437" width="12.7109375" style="9" customWidth="1"/>
    <col min="7438" max="7438" width="9.140625" style="9"/>
    <col min="7439" max="7439" width="11.140625" style="9" bestFit="1" customWidth="1"/>
    <col min="7440" max="7678" width="9.140625" style="9"/>
    <col min="7679" max="7679" width="4" style="9" customWidth="1"/>
    <col min="7680" max="7680" width="30.7109375" style="9" customWidth="1"/>
    <col min="7681" max="7682" width="10" style="9" customWidth="1"/>
    <col min="7683" max="7683" width="9.85546875" style="9" customWidth="1"/>
    <col min="7684" max="7684" width="12.42578125" style="9" customWidth="1"/>
    <col min="7685" max="7690" width="12.7109375" style="9" customWidth="1"/>
    <col min="7691" max="7691" width="13" style="9" customWidth="1"/>
    <col min="7692" max="7693" width="12.7109375" style="9" customWidth="1"/>
    <col min="7694" max="7694" width="9.140625" style="9"/>
    <col min="7695" max="7695" width="11.140625" style="9" bestFit="1" customWidth="1"/>
    <col min="7696" max="7934" width="9.140625" style="9"/>
    <col min="7935" max="7935" width="4" style="9" customWidth="1"/>
    <col min="7936" max="7936" width="30.7109375" style="9" customWidth="1"/>
    <col min="7937" max="7938" width="10" style="9" customWidth="1"/>
    <col min="7939" max="7939" width="9.85546875" style="9" customWidth="1"/>
    <col min="7940" max="7940" width="12.42578125" style="9" customWidth="1"/>
    <col min="7941" max="7946" width="12.7109375" style="9" customWidth="1"/>
    <col min="7947" max="7947" width="13" style="9" customWidth="1"/>
    <col min="7948" max="7949" width="12.7109375" style="9" customWidth="1"/>
    <col min="7950" max="7950" width="9.140625" style="9"/>
    <col min="7951" max="7951" width="11.140625" style="9" bestFit="1" customWidth="1"/>
    <col min="7952" max="8190" width="9.140625" style="9"/>
    <col min="8191" max="8191" width="4" style="9" customWidth="1"/>
    <col min="8192" max="8192" width="30.7109375" style="9" customWidth="1"/>
    <col min="8193" max="8194" width="10" style="9" customWidth="1"/>
    <col min="8195" max="8195" width="9.85546875" style="9" customWidth="1"/>
    <col min="8196" max="8196" width="12.42578125" style="9" customWidth="1"/>
    <col min="8197" max="8202" width="12.7109375" style="9" customWidth="1"/>
    <col min="8203" max="8203" width="13" style="9" customWidth="1"/>
    <col min="8204" max="8205" width="12.7109375" style="9" customWidth="1"/>
    <col min="8206" max="8206" width="9.140625" style="9"/>
    <col min="8207" max="8207" width="11.140625" style="9" bestFit="1" customWidth="1"/>
    <col min="8208" max="8446" width="9.140625" style="9"/>
    <col min="8447" max="8447" width="4" style="9" customWidth="1"/>
    <col min="8448" max="8448" width="30.7109375" style="9" customWidth="1"/>
    <col min="8449" max="8450" width="10" style="9" customWidth="1"/>
    <col min="8451" max="8451" width="9.85546875" style="9" customWidth="1"/>
    <col min="8452" max="8452" width="12.42578125" style="9" customWidth="1"/>
    <col min="8453" max="8458" width="12.7109375" style="9" customWidth="1"/>
    <col min="8459" max="8459" width="13" style="9" customWidth="1"/>
    <col min="8460" max="8461" width="12.7109375" style="9" customWidth="1"/>
    <col min="8462" max="8462" width="9.140625" style="9"/>
    <col min="8463" max="8463" width="11.140625" style="9" bestFit="1" customWidth="1"/>
    <col min="8464" max="8702" width="9.140625" style="9"/>
    <col min="8703" max="8703" width="4" style="9" customWidth="1"/>
    <col min="8704" max="8704" width="30.7109375" style="9" customWidth="1"/>
    <col min="8705" max="8706" width="10" style="9" customWidth="1"/>
    <col min="8707" max="8707" width="9.85546875" style="9" customWidth="1"/>
    <col min="8708" max="8708" width="12.42578125" style="9" customWidth="1"/>
    <col min="8709" max="8714" width="12.7109375" style="9" customWidth="1"/>
    <col min="8715" max="8715" width="13" style="9" customWidth="1"/>
    <col min="8716" max="8717" width="12.7109375" style="9" customWidth="1"/>
    <col min="8718" max="8718" width="9.140625" style="9"/>
    <col min="8719" max="8719" width="11.140625" style="9" bestFit="1" customWidth="1"/>
    <col min="8720" max="8958" width="9.140625" style="9"/>
    <col min="8959" max="8959" width="4" style="9" customWidth="1"/>
    <col min="8960" max="8960" width="30.7109375" style="9" customWidth="1"/>
    <col min="8961" max="8962" width="10" style="9" customWidth="1"/>
    <col min="8963" max="8963" width="9.85546875" style="9" customWidth="1"/>
    <col min="8964" max="8964" width="12.42578125" style="9" customWidth="1"/>
    <col min="8965" max="8970" width="12.7109375" style="9" customWidth="1"/>
    <col min="8971" max="8971" width="13" style="9" customWidth="1"/>
    <col min="8972" max="8973" width="12.7109375" style="9" customWidth="1"/>
    <col min="8974" max="8974" width="9.140625" style="9"/>
    <col min="8975" max="8975" width="11.140625" style="9" bestFit="1" customWidth="1"/>
    <col min="8976" max="9214" width="9.140625" style="9"/>
    <col min="9215" max="9215" width="4" style="9" customWidth="1"/>
    <col min="9216" max="9216" width="30.7109375" style="9" customWidth="1"/>
    <col min="9217" max="9218" width="10" style="9" customWidth="1"/>
    <col min="9219" max="9219" width="9.85546875" style="9" customWidth="1"/>
    <col min="9220" max="9220" width="12.42578125" style="9" customWidth="1"/>
    <col min="9221" max="9226" width="12.7109375" style="9" customWidth="1"/>
    <col min="9227" max="9227" width="13" style="9" customWidth="1"/>
    <col min="9228" max="9229" width="12.7109375" style="9" customWidth="1"/>
    <col min="9230" max="9230" width="9.140625" style="9"/>
    <col min="9231" max="9231" width="11.140625" style="9" bestFit="1" customWidth="1"/>
    <col min="9232" max="9470" width="9.140625" style="9"/>
    <col min="9471" max="9471" width="4" style="9" customWidth="1"/>
    <col min="9472" max="9472" width="30.7109375" style="9" customWidth="1"/>
    <col min="9473" max="9474" width="10" style="9" customWidth="1"/>
    <col min="9475" max="9475" width="9.85546875" style="9" customWidth="1"/>
    <col min="9476" max="9476" width="12.42578125" style="9" customWidth="1"/>
    <col min="9477" max="9482" width="12.7109375" style="9" customWidth="1"/>
    <col min="9483" max="9483" width="13" style="9" customWidth="1"/>
    <col min="9484" max="9485" width="12.7109375" style="9" customWidth="1"/>
    <col min="9486" max="9486" width="9.140625" style="9"/>
    <col min="9487" max="9487" width="11.140625" style="9" bestFit="1" customWidth="1"/>
    <col min="9488" max="9726" width="9.140625" style="9"/>
    <col min="9727" max="9727" width="4" style="9" customWidth="1"/>
    <col min="9728" max="9728" width="30.7109375" style="9" customWidth="1"/>
    <col min="9729" max="9730" width="10" style="9" customWidth="1"/>
    <col min="9731" max="9731" width="9.85546875" style="9" customWidth="1"/>
    <col min="9732" max="9732" width="12.42578125" style="9" customWidth="1"/>
    <col min="9733" max="9738" width="12.7109375" style="9" customWidth="1"/>
    <col min="9739" max="9739" width="13" style="9" customWidth="1"/>
    <col min="9740" max="9741" width="12.7109375" style="9" customWidth="1"/>
    <col min="9742" max="9742" width="9.140625" style="9"/>
    <col min="9743" max="9743" width="11.140625" style="9" bestFit="1" customWidth="1"/>
    <col min="9744" max="9982" width="9.140625" style="9"/>
    <col min="9983" max="9983" width="4" style="9" customWidth="1"/>
    <col min="9984" max="9984" width="30.7109375" style="9" customWidth="1"/>
    <col min="9985" max="9986" width="10" style="9" customWidth="1"/>
    <col min="9987" max="9987" width="9.85546875" style="9" customWidth="1"/>
    <col min="9988" max="9988" width="12.42578125" style="9" customWidth="1"/>
    <col min="9989" max="9994" width="12.7109375" style="9" customWidth="1"/>
    <col min="9995" max="9995" width="13" style="9" customWidth="1"/>
    <col min="9996" max="9997" width="12.7109375" style="9" customWidth="1"/>
    <col min="9998" max="9998" width="9.140625" style="9"/>
    <col min="9999" max="9999" width="11.140625" style="9" bestFit="1" customWidth="1"/>
    <col min="10000" max="10238" width="9.140625" style="9"/>
    <col min="10239" max="10239" width="4" style="9" customWidth="1"/>
    <col min="10240" max="10240" width="30.7109375" style="9" customWidth="1"/>
    <col min="10241" max="10242" width="10" style="9" customWidth="1"/>
    <col min="10243" max="10243" width="9.85546875" style="9" customWidth="1"/>
    <col min="10244" max="10244" width="12.42578125" style="9" customWidth="1"/>
    <col min="10245" max="10250" width="12.7109375" style="9" customWidth="1"/>
    <col min="10251" max="10251" width="13" style="9" customWidth="1"/>
    <col min="10252" max="10253" width="12.7109375" style="9" customWidth="1"/>
    <col min="10254" max="10254" width="9.140625" style="9"/>
    <col min="10255" max="10255" width="11.140625" style="9" bestFit="1" customWidth="1"/>
    <col min="10256" max="10494" width="9.140625" style="9"/>
    <col min="10495" max="10495" width="4" style="9" customWidth="1"/>
    <col min="10496" max="10496" width="30.7109375" style="9" customWidth="1"/>
    <col min="10497" max="10498" width="10" style="9" customWidth="1"/>
    <col min="10499" max="10499" width="9.85546875" style="9" customWidth="1"/>
    <col min="10500" max="10500" width="12.42578125" style="9" customWidth="1"/>
    <col min="10501" max="10506" width="12.7109375" style="9" customWidth="1"/>
    <col min="10507" max="10507" width="13" style="9" customWidth="1"/>
    <col min="10508" max="10509" width="12.7109375" style="9" customWidth="1"/>
    <col min="10510" max="10510" width="9.140625" style="9"/>
    <col min="10511" max="10511" width="11.140625" style="9" bestFit="1" customWidth="1"/>
    <col min="10512" max="10750" width="9.140625" style="9"/>
    <col min="10751" max="10751" width="4" style="9" customWidth="1"/>
    <col min="10752" max="10752" width="30.7109375" style="9" customWidth="1"/>
    <col min="10753" max="10754" width="10" style="9" customWidth="1"/>
    <col min="10755" max="10755" width="9.85546875" style="9" customWidth="1"/>
    <col min="10756" max="10756" width="12.42578125" style="9" customWidth="1"/>
    <col min="10757" max="10762" width="12.7109375" style="9" customWidth="1"/>
    <col min="10763" max="10763" width="13" style="9" customWidth="1"/>
    <col min="10764" max="10765" width="12.7109375" style="9" customWidth="1"/>
    <col min="10766" max="10766" width="9.140625" style="9"/>
    <col min="10767" max="10767" width="11.140625" style="9" bestFit="1" customWidth="1"/>
    <col min="10768" max="11006" width="9.140625" style="9"/>
    <col min="11007" max="11007" width="4" style="9" customWidth="1"/>
    <col min="11008" max="11008" width="30.7109375" style="9" customWidth="1"/>
    <col min="11009" max="11010" width="10" style="9" customWidth="1"/>
    <col min="11011" max="11011" width="9.85546875" style="9" customWidth="1"/>
    <col min="11012" max="11012" width="12.42578125" style="9" customWidth="1"/>
    <col min="11013" max="11018" width="12.7109375" style="9" customWidth="1"/>
    <col min="11019" max="11019" width="13" style="9" customWidth="1"/>
    <col min="11020" max="11021" width="12.7109375" style="9" customWidth="1"/>
    <col min="11022" max="11022" width="9.140625" style="9"/>
    <col min="11023" max="11023" width="11.140625" style="9" bestFit="1" customWidth="1"/>
    <col min="11024" max="11262" width="9.140625" style="9"/>
    <col min="11263" max="11263" width="4" style="9" customWidth="1"/>
    <col min="11264" max="11264" width="30.7109375" style="9" customWidth="1"/>
    <col min="11265" max="11266" width="10" style="9" customWidth="1"/>
    <col min="11267" max="11267" width="9.85546875" style="9" customWidth="1"/>
    <col min="11268" max="11268" width="12.42578125" style="9" customWidth="1"/>
    <col min="11269" max="11274" width="12.7109375" style="9" customWidth="1"/>
    <col min="11275" max="11275" width="13" style="9" customWidth="1"/>
    <col min="11276" max="11277" width="12.7109375" style="9" customWidth="1"/>
    <col min="11278" max="11278" width="9.140625" style="9"/>
    <col min="11279" max="11279" width="11.140625" style="9" bestFit="1" customWidth="1"/>
    <col min="11280" max="11518" width="9.140625" style="9"/>
    <col min="11519" max="11519" width="4" style="9" customWidth="1"/>
    <col min="11520" max="11520" width="30.7109375" style="9" customWidth="1"/>
    <col min="11521" max="11522" width="10" style="9" customWidth="1"/>
    <col min="11523" max="11523" width="9.85546875" style="9" customWidth="1"/>
    <col min="11524" max="11524" width="12.42578125" style="9" customWidth="1"/>
    <col min="11525" max="11530" width="12.7109375" style="9" customWidth="1"/>
    <col min="11531" max="11531" width="13" style="9" customWidth="1"/>
    <col min="11532" max="11533" width="12.7109375" style="9" customWidth="1"/>
    <col min="11534" max="11534" width="9.140625" style="9"/>
    <col min="11535" max="11535" width="11.140625" style="9" bestFit="1" customWidth="1"/>
    <col min="11536" max="11774" width="9.140625" style="9"/>
    <col min="11775" max="11775" width="4" style="9" customWidth="1"/>
    <col min="11776" max="11776" width="30.7109375" style="9" customWidth="1"/>
    <col min="11777" max="11778" width="10" style="9" customWidth="1"/>
    <col min="11779" max="11779" width="9.85546875" style="9" customWidth="1"/>
    <col min="11780" max="11780" width="12.42578125" style="9" customWidth="1"/>
    <col min="11781" max="11786" width="12.7109375" style="9" customWidth="1"/>
    <col min="11787" max="11787" width="13" style="9" customWidth="1"/>
    <col min="11788" max="11789" width="12.7109375" style="9" customWidth="1"/>
    <col min="11790" max="11790" width="9.140625" style="9"/>
    <col min="11791" max="11791" width="11.140625" style="9" bestFit="1" customWidth="1"/>
    <col min="11792" max="12030" width="9.140625" style="9"/>
    <col min="12031" max="12031" width="4" style="9" customWidth="1"/>
    <col min="12032" max="12032" width="30.7109375" style="9" customWidth="1"/>
    <col min="12033" max="12034" width="10" style="9" customWidth="1"/>
    <col min="12035" max="12035" width="9.85546875" style="9" customWidth="1"/>
    <col min="12036" max="12036" width="12.42578125" style="9" customWidth="1"/>
    <col min="12037" max="12042" width="12.7109375" style="9" customWidth="1"/>
    <col min="12043" max="12043" width="13" style="9" customWidth="1"/>
    <col min="12044" max="12045" width="12.7109375" style="9" customWidth="1"/>
    <col min="12046" max="12046" width="9.140625" style="9"/>
    <col min="12047" max="12047" width="11.140625" style="9" bestFit="1" customWidth="1"/>
    <col min="12048" max="12286" width="9.140625" style="9"/>
    <col min="12287" max="12287" width="4" style="9" customWidth="1"/>
    <col min="12288" max="12288" width="30.7109375" style="9" customWidth="1"/>
    <col min="12289" max="12290" width="10" style="9" customWidth="1"/>
    <col min="12291" max="12291" width="9.85546875" style="9" customWidth="1"/>
    <col min="12292" max="12292" width="12.42578125" style="9" customWidth="1"/>
    <col min="12293" max="12298" width="12.7109375" style="9" customWidth="1"/>
    <col min="12299" max="12299" width="13" style="9" customWidth="1"/>
    <col min="12300" max="12301" width="12.7109375" style="9" customWidth="1"/>
    <col min="12302" max="12302" width="9.140625" style="9"/>
    <col min="12303" max="12303" width="11.140625" style="9" bestFit="1" customWidth="1"/>
    <col min="12304" max="12542" width="9.140625" style="9"/>
    <col min="12543" max="12543" width="4" style="9" customWidth="1"/>
    <col min="12544" max="12544" width="30.7109375" style="9" customWidth="1"/>
    <col min="12545" max="12546" width="10" style="9" customWidth="1"/>
    <col min="12547" max="12547" width="9.85546875" style="9" customWidth="1"/>
    <col min="12548" max="12548" width="12.42578125" style="9" customWidth="1"/>
    <col min="12549" max="12554" width="12.7109375" style="9" customWidth="1"/>
    <col min="12555" max="12555" width="13" style="9" customWidth="1"/>
    <col min="12556" max="12557" width="12.7109375" style="9" customWidth="1"/>
    <col min="12558" max="12558" width="9.140625" style="9"/>
    <col min="12559" max="12559" width="11.140625" style="9" bestFit="1" customWidth="1"/>
    <col min="12560" max="12798" width="9.140625" style="9"/>
    <col min="12799" max="12799" width="4" style="9" customWidth="1"/>
    <col min="12800" max="12800" width="30.7109375" style="9" customWidth="1"/>
    <col min="12801" max="12802" width="10" style="9" customWidth="1"/>
    <col min="12803" max="12803" width="9.85546875" style="9" customWidth="1"/>
    <col min="12804" max="12804" width="12.42578125" style="9" customWidth="1"/>
    <col min="12805" max="12810" width="12.7109375" style="9" customWidth="1"/>
    <col min="12811" max="12811" width="13" style="9" customWidth="1"/>
    <col min="12812" max="12813" width="12.7109375" style="9" customWidth="1"/>
    <col min="12814" max="12814" width="9.140625" style="9"/>
    <col min="12815" max="12815" width="11.140625" style="9" bestFit="1" customWidth="1"/>
    <col min="12816" max="13054" width="9.140625" style="9"/>
    <col min="13055" max="13055" width="4" style="9" customWidth="1"/>
    <col min="13056" max="13056" width="30.7109375" style="9" customWidth="1"/>
    <col min="13057" max="13058" width="10" style="9" customWidth="1"/>
    <col min="13059" max="13059" width="9.85546875" style="9" customWidth="1"/>
    <col min="13060" max="13060" width="12.42578125" style="9" customWidth="1"/>
    <col min="13061" max="13066" width="12.7109375" style="9" customWidth="1"/>
    <col min="13067" max="13067" width="13" style="9" customWidth="1"/>
    <col min="13068" max="13069" width="12.7109375" style="9" customWidth="1"/>
    <col min="13070" max="13070" width="9.140625" style="9"/>
    <col min="13071" max="13071" width="11.140625" style="9" bestFit="1" customWidth="1"/>
    <col min="13072" max="13310" width="9.140625" style="9"/>
    <col min="13311" max="13311" width="4" style="9" customWidth="1"/>
    <col min="13312" max="13312" width="30.7109375" style="9" customWidth="1"/>
    <col min="13313" max="13314" width="10" style="9" customWidth="1"/>
    <col min="13315" max="13315" width="9.85546875" style="9" customWidth="1"/>
    <col min="13316" max="13316" width="12.42578125" style="9" customWidth="1"/>
    <col min="13317" max="13322" width="12.7109375" style="9" customWidth="1"/>
    <col min="13323" max="13323" width="13" style="9" customWidth="1"/>
    <col min="13324" max="13325" width="12.7109375" style="9" customWidth="1"/>
    <col min="13326" max="13326" width="9.140625" style="9"/>
    <col min="13327" max="13327" width="11.140625" style="9" bestFit="1" customWidth="1"/>
    <col min="13328" max="13566" width="9.140625" style="9"/>
    <col min="13567" max="13567" width="4" style="9" customWidth="1"/>
    <col min="13568" max="13568" width="30.7109375" style="9" customWidth="1"/>
    <col min="13569" max="13570" width="10" style="9" customWidth="1"/>
    <col min="13571" max="13571" width="9.85546875" style="9" customWidth="1"/>
    <col min="13572" max="13572" width="12.42578125" style="9" customWidth="1"/>
    <col min="13573" max="13578" width="12.7109375" style="9" customWidth="1"/>
    <col min="13579" max="13579" width="13" style="9" customWidth="1"/>
    <col min="13580" max="13581" width="12.7109375" style="9" customWidth="1"/>
    <col min="13582" max="13582" width="9.140625" style="9"/>
    <col min="13583" max="13583" width="11.140625" style="9" bestFit="1" customWidth="1"/>
    <col min="13584" max="13822" width="9.140625" style="9"/>
    <col min="13823" max="13823" width="4" style="9" customWidth="1"/>
    <col min="13824" max="13824" width="30.7109375" style="9" customWidth="1"/>
    <col min="13825" max="13826" width="10" style="9" customWidth="1"/>
    <col min="13827" max="13827" width="9.85546875" style="9" customWidth="1"/>
    <col min="13828" max="13828" width="12.42578125" style="9" customWidth="1"/>
    <col min="13829" max="13834" width="12.7109375" style="9" customWidth="1"/>
    <col min="13835" max="13835" width="13" style="9" customWidth="1"/>
    <col min="13836" max="13837" width="12.7109375" style="9" customWidth="1"/>
    <col min="13838" max="13838" width="9.140625" style="9"/>
    <col min="13839" max="13839" width="11.140625" style="9" bestFit="1" customWidth="1"/>
    <col min="13840" max="14078" width="9.140625" style="9"/>
    <col min="14079" max="14079" width="4" style="9" customWidth="1"/>
    <col min="14080" max="14080" width="30.7109375" style="9" customWidth="1"/>
    <col min="14081" max="14082" width="10" style="9" customWidth="1"/>
    <col min="14083" max="14083" width="9.85546875" style="9" customWidth="1"/>
    <col min="14084" max="14084" width="12.42578125" style="9" customWidth="1"/>
    <col min="14085" max="14090" width="12.7109375" style="9" customWidth="1"/>
    <col min="14091" max="14091" width="13" style="9" customWidth="1"/>
    <col min="14092" max="14093" width="12.7109375" style="9" customWidth="1"/>
    <col min="14094" max="14094" width="9.140625" style="9"/>
    <col min="14095" max="14095" width="11.140625" style="9" bestFit="1" customWidth="1"/>
    <col min="14096" max="14334" width="9.140625" style="9"/>
    <col min="14335" max="14335" width="4" style="9" customWidth="1"/>
    <col min="14336" max="14336" width="30.7109375" style="9" customWidth="1"/>
    <col min="14337" max="14338" width="10" style="9" customWidth="1"/>
    <col min="14339" max="14339" width="9.85546875" style="9" customWidth="1"/>
    <col min="14340" max="14340" width="12.42578125" style="9" customWidth="1"/>
    <col min="14341" max="14346" width="12.7109375" style="9" customWidth="1"/>
    <col min="14347" max="14347" width="13" style="9" customWidth="1"/>
    <col min="14348" max="14349" width="12.7109375" style="9" customWidth="1"/>
    <col min="14350" max="14350" width="9.140625" style="9"/>
    <col min="14351" max="14351" width="11.140625" style="9" bestFit="1" customWidth="1"/>
    <col min="14352" max="14590" width="9.140625" style="9"/>
    <col min="14591" max="14591" width="4" style="9" customWidth="1"/>
    <col min="14592" max="14592" width="30.7109375" style="9" customWidth="1"/>
    <col min="14593" max="14594" width="10" style="9" customWidth="1"/>
    <col min="14595" max="14595" width="9.85546875" style="9" customWidth="1"/>
    <col min="14596" max="14596" width="12.42578125" style="9" customWidth="1"/>
    <col min="14597" max="14602" width="12.7109375" style="9" customWidth="1"/>
    <col min="14603" max="14603" width="13" style="9" customWidth="1"/>
    <col min="14604" max="14605" width="12.7109375" style="9" customWidth="1"/>
    <col min="14606" max="14606" width="9.140625" style="9"/>
    <col min="14607" max="14607" width="11.140625" style="9" bestFit="1" customWidth="1"/>
    <col min="14608" max="14846" width="9.140625" style="9"/>
    <col min="14847" max="14847" width="4" style="9" customWidth="1"/>
    <col min="14848" max="14848" width="30.7109375" style="9" customWidth="1"/>
    <col min="14849" max="14850" width="10" style="9" customWidth="1"/>
    <col min="14851" max="14851" width="9.85546875" style="9" customWidth="1"/>
    <col min="14852" max="14852" width="12.42578125" style="9" customWidth="1"/>
    <col min="14853" max="14858" width="12.7109375" style="9" customWidth="1"/>
    <col min="14859" max="14859" width="13" style="9" customWidth="1"/>
    <col min="14860" max="14861" width="12.7109375" style="9" customWidth="1"/>
    <col min="14862" max="14862" width="9.140625" style="9"/>
    <col min="14863" max="14863" width="11.140625" style="9" bestFit="1" customWidth="1"/>
    <col min="14864" max="15102" width="9.140625" style="9"/>
    <col min="15103" max="15103" width="4" style="9" customWidth="1"/>
    <col min="15104" max="15104" width="30.7109375" style="9" customWidth="1"/>
    <col min="15105" max="15106" width="10" style="9" customWidth="1"/>
    <col min="15107" max="15107" width="9.85546875" style="9" customWidth="1"/>
    <col min="15108" max="15108" width="12.42578125" style="9" customWidth="1"/>
    <col min="15109" max="15114" width="12.7109375" style="9" customWidth="1"/>
    <col min="15115" max="15115" width="13" style="9" customWidth="1"/>
    <col min="15116" max="15117" width="12.7109375" style="9" customWidth="1"/>
    <col min="15118" max="15118" width="9.140625" style="9"/>
    <col min="15119" max="15119" width="11.140625" style="9" bestFit="1" customWidth="1"/>
    <col min="15120" max="15358" width="9.140625" style="9"/>
    <col min="15359" max="15359" width="4" style="9" customWidth="1"/>
    <col min="15360" max="15360" width="30.7109375" style="9" customWidth="1"/>
    <col min="15361" max="15362" width="10" style="9" customWidth="1"/>
    <col min="15363" max="15363" width="9.85546875" style="9" customWidth="1"/>
    <col min="15364" max="15364" width="12.42578125" style="9" customWidth="1"/>
    <col min="15365" max="15370" width="12.7109375" style="9" customWidth="1"/>
    <col min="15371" max="15371" width="13" style="9" customWidth="1"/>
    <col min="15372" max="15373" width="12.7109375" style="9" customWidth="1"/>
    <col min="15374" max="15374" width="9.140625" style="9"/>
    <col min="15375" max="15375" width="11.140625" style="9" bestFit="1" customWidth="1"/>
    <col min="15376" max="15614" width="9.140625" style="9"/>
    <col min="15615" max="15615" width="4" style="9" customWidth="1"/>
    <col min="15616" max="15616" width="30.7109375" style="9" customWidth="1"/>
    <col min="15617" max="15618" width="10" style="9" customWidth="1"/>
    <col min="15619" max="15619" width="9.85546875" style="9" customWidth="1"/>
    <col min="15620" max="15620" width="12.42578125" style="9" customWidth="1"/>
    <col min="15621" max="15626" width="12.7109375" style="9" customWidth="1"/>
    <col min="15627" max="15627" width="13" style="9" customWidth="1"/>
    <col min="15628" max="15629" width="12.7109375" style="9" customWidth="1"/>
    <col min="15630" max="15630" width="9.140625" style="9"/>
    <col min="15631" max="15631" width="11.140625" style="9" bestFit="1" customWidth="1"/>
    <col min="15632" max="15870" width="9.140625" style="9"/>
    <col min="15871" max="15871" width="4" style="9" customWidth="1"/>
    <col min="15872" max="15872" width="30.7109375" style="9" customWidth="1"/>
    <col min="15873" max="15874" width="10" style="9" customWidth="1"/>
    <col min="15875" max="15875" width="9.85546875" style="9" customWidth="1"/>
    <col min="15876" max="15876" width="12.42578125" style="9" customWidth="1"/>
    <col min="15877" max="15882" width="12.7109375" style="9" customWidth="1"/>
    <col min="15883" max="15883" width="13" style="9" customWidth="1"/>
    <col min="15884" max="15885" width="12.7109375" style="9" customWidth="1"/>
    <col min="15886" max="15886" width="9.140625" style="9"/>
    <col min="15887" max="15887" width="11.140625" style="9" bestFit="1" customWidth="1"/>
    <col min="15888" max="16126" width="9.140625" style="9"/>
    <col min="16127" max="16127" width="4" style="9" customWidth="1"/>
    <col min="16128" max="16128" width="30.7109375" style="9" customWidth="1"/>
    <col min="16129" max="16130" width="10" style="9" customWidth="1"/>
    <col min="16131" max="16131" width="9.85546875" style="9" customWidth="1"/>
    <col min="16132" max="16132" width="12.42578125" style="9" customWidth="1"/>
    <col min="16133" max="16138" width="12.7109375" style="9" customWidth="1"/>
    <col min="16139" max="16139" width="13" style="9" customWidth="1"/>
    <col min="16140" max="16141" width="12.7109375" style="9" customWidth="1"/>
    <col min="16142" max="16142" width="9.140625" style="9"/>
    <col min="16143" max="16143" width="11.140625" style="9" bestFit="1" customWidth="1"/>
    <col min="16144" max="16384" width="9.140625" style="9"/>
  </cols>
  <sheetData>
    <row r="1" spans="1:20" s="7" customFormat="1" ht="13.5" thickBot="1">
      <c r="A1" s="7" t="s">
        <v>15</v>
      </c>
      <c r="B1" s="8"/>
      <c r="C1" s="8"/>
      <c r="D1" s="8"/>
    </row>
    <row r="2" spans="1:20" ht="23.25" thickBot="1">
      <c r="A2" s="1875" t="s">
        <v>16</v>
      </c>
      <c r="B2" s="1876"/>
      <c r="C2" s="1876"/>
      <c r="D2" s="1876"/>
      <c r="E2" s="1876"/>
      <c r="F2" s="1876"/>
      <c r="G2" s="1876"/>
      <c r="H2" s="1876"/>
      <c r="I2" s="1876"/>
      <c r="J2" s="717"/>
      <c r="K2" s="717"/>
      <c r="L2" s="717"/>
      <c r="M2" s="717"/>
      <c r="N2" s="717"/>
      <c r="O2" s="718"/>
    </row>
    <row r="3" spans="1:20" ht="16.5" thickBot="1">
      <c r="A3" s="1877" t="s">
        <v>17</v>
      </c>
      <c r="B3" s="1878"/>
      <c r="C3" s="1878"/>
      <c r="D3" s="1878"/>
      <c r="E3" s="1878"/>
      <c r="F3" s="1878"/>
      <c r="G3" s="1878"/>
      <c r="H3" s="1878"/>
      <c r="I3" s="1878"/>
      <c r="J3" s="719"/>
      <c r="K3" s="719"/>
      <c r="L3" s="719"/>
      <c r="M3" s="719"/>
      <c r="N3" s="719"/>
      <c r="O3" s="720"/>
    </row>
    <row r="4" spans="1:20" ht="25.5">
      <c r="A4" s="10" t="s">
        <v>18</v>
      </c>
      <c r="B4" s="882"/>
      <c r="C4" s="11"/>
      <c r="D4" s="11"/>
      <c r="E4" s="12" t="s">
        <v>19</v>
      </c>
      <c r="F4" s="13"/>
      <c r="G4" s="1879" t="s">
        <v>20</v>
      </c>
      <c r="H4" s="1881"/>
      <c r="I4" s="1882"/>
      <c r="J4" s="883" t="s">
        <v>21</v>
      </c>
      <c r="K4" s="884">
        <f>M32-K32</f>
        <v>95457.5</v>
      </c>
      <c r="L4" s="1881"/>
      <c r="M4" s="1882"/>
      <c r="N4" s="16"/>
      <c r="O4" s="17"/>
    </row>
    <row r="5" spans="1:20" ht="26.25" thickBot="1">
      <c r="A5" s="19" t="s">
        <v>26</v>
      </c>
      <c r="B5" s="20"/>
      <c r="C5" s="20"/>
      <c r="D5" s="20"/>
      <c r="E5" s="21" t="s">
        <v>27</v>
      </c>
      <c r="F5" s="22"/>
      <c r="G5" s="1880"/>
      <c r="H5" s="1883"/>
      <c r="I5" s="1884"/>
      <c r="J5" s="885" t="s">
        <v>1411</v>
      </c>
      <c r="K5" s="886"/>
      <c r="L5" s="1883"/>
      <c r="M5" s="1884"/>
      <c r="N5" s="24"/>
      <c r="O5" s="25"/>
      <c r="P5" s="25" t="s">
        <v>18</v>
      </c>
      <c r="Q5" s="25" t="s">
        <v>31</v>
      </c>
    </row>
    <row r="6" spans="1:20" ht="13.5" thickBot="1">
      <c r="A6" s="26"/>
      <c r="B6" s="27"/>
      <c r="C6" s="27"/>
      <c r="D6" s="27"/>
      <c r="F6" s="28"/>
      <c r="G6" s="355"/>
      <c r="H6" s="30"/>
      <c r="I6" s="28"/>
      <c r="J6" s="30"/>
      <c r="K6" s="28"/>
      <c r="L6" s="30"/>
      <c r="M6" s="28"/>
      <c r="N6" s="31"/>
      <c r="O6" s="28"/>
    </row>
    <row r="7" spans="1:20" ht="31.5" customHeight="1" thickBot="1">
      <c r="A7" s="1885" t="s">
        <v>32</v>
      </c>
      <c r="B7" s="1888" t="s">
        <v>33</v>
      </c>
      <c r="C7" s="721"/>
      <c r="D7" s="721"/>
      <c r="E7" s="1890" t="s">
        <v>1412</v>
      </c>
      <c r="F7" s="1892" t="s">
        <v>35</v>
      </c>
      <c r="G7" s="1836" t="s">
        <v>36</v>
      </c>
      <c r="H7" s="1718" t="s">
        <v>1413</v>
      </c>
      <c r="I7" s="1719"/>
      <c r="J7" s="1872" t="s">
        <v>1414</v>
      </c>
      <c r="K7" s="1873"/>
      <c r="L7" s="1872" t="s">
        <v>1415</v>
      </c>
      <c r="M7" s="1873"/>
      <c r="N7" s="1872" t="s">
        <v>1416</v>
      </c>
      <c r="O7" s="1873"/>
      <c r="P7" s="555" t="s">
        <v>18</v>
      </c>
      <c r="Q7" s="555" t="s">
        <v>31</v>
      </c>
    </row>
    <row r="8" spans="1:20" ht="19.5" customHeight="1">
      <c r="A8" s="1886"/>
      <c r="B8" s="1889"/>
      <c r="C8" s="556"/>
      <c r="D8" s="556"/>
      <c r="E8" s="1891"/>
      <c r="F8" s="1893"/>
      <c r="G8" s="1837"/>
      <c r="H8" s="1720" t="s">
        <v>1417</v>
      </c>
      <c r="I8" s="1721"/>
      <c r="J8" s="1874" t="s">
        <v>1418</v>
      </c>
      <c r="K8" s="1874"/>
      <c r="L8" s="1874" t="s">
        <v>1419</v>
      </c>
      <c r="M8" s="1874"/>
      <c r="N8" s="1874" t="s">
        <v>1420</v>
      </c>
      <c r="O8" s="1874"/>
      <c r="P8" s="266"/>
      <c r="Q8" s="266"/>
    </row>
    <row r="9" spans="1:20" ht="21.75" customHeight="1" thickBot="1">
      <c r="A9" s="1886"/>
      <c r="B9" s="1889"/>
      <c r="C9" s="556"/>
      <c r="D9" s="556"/>
      <c r="E9" s="1891"/>
      <c r="F9" s="1893"/>
      <c r="G9" s="1837"/>
      <c r="H9" s="1720"/>
      <c r="I9" s="1721"/>
      <c r="J9" s="1874"/>
      <c r="K9" s="1874"/>
      <c r="L9" s="1874"/>
      <c r="M9" s="1874"/>
      <c r="N9" s="1874"/>
      <c r="O9" s="1874"/>
      <c r="P9" s="476"/>
      <c r="Q9" s="266"/>
    </row>
    <row r="10" spans="1:20" ht="39" customHeight="1" thickBot="1">
      <c r="A10" s="1886"/>
      <c r="B10" s="1889"/>
      <c r="C10" s="887" t="s">
        <v>1421</v>
      </c>
      <c r="D10" s="556" t="s">
        <v>1422</v>
      </c>
      <c r="E10" s="1891"/>
      <c r="F10" s="1893"/>
      <c r="G10" s="1837"/>
      <c r="H10" s="1822" t="s">
        <v>1423</v>
      </c>
      <c r="I10" s="1823"/>
      <c r="J10" s="1868" t="s">
        <v>1424</v>
      </c>
      <c r="K10" s="1869"/>
      <c r="L10" s="1868" t="s">
        <v>1425</v>
      </c>
      <c r="M10" s="1869"/>
      <c r="N10" s="1868" t="s">
        <v>1426</v>
      </c>
      <c r="O10" s="1869"/>
      <c r="P10" s="266"/>
      <c r="Q10" s="266"/>
    </row>
    <row r="11" spans="1:20" ht="26.25" thickBot="1">
      <c r="A11" s="1886"/>
      <c r="B11" s="1889"/>
      <c r="C11" s="556" t="s">
        <v>1611</v>
      </c>
      <c r="D11" s="556"/>
      <c r="E11" s="1891"/>
      <c r="F11" s="1893"/>
      <c r="G11" s="1837"/>
      <c r="H11" s="1870" t="s">
        <v>46</v>
      </c>
      <c r="I11" s="1871"/>
      <c r="J11" s="1870" t="s">
        <v>46</v>
      </c>
      <c r="K11" s="1871"/>
      <c r="L11" s="1870" t="s">
        <v>46</v>
      </c>
      <c r="M11" s="1871"/>
      <c r="N11" s="1870" t="s">
        <v>46</v>
      </c>
      <c r="O11" s="1871"/>
      <c r="P11" s="476"/>
      <c r="Q11" s="266"/>
    </row>
    <row r="12" spans="1:20" ht="13.5" thickBot="1">
      <c r="A12" s="1887"/>
      <c r="B12" s="1889"/>
      <c r="C12" s="556"/>
      <c r="D12" s="556"/>
      <c r="E12" s="1891"/>
      <c r="F12" s="1893"/>
      <c r="G12" s="1837"/>
      <c r="H12" s="448" t="s">
        <v>47</v>
      </c>
      <c r="I12" s="449" t="s">
        <v>48</v>
      </c>
      <c r="J12" s="888" t="s">
        <v>47</v>
      </c>
      <c r="K12" s="449" t="s">
        <v>48</v>
      </c>
      <c r="L12" s="448" t="s">
        <v>47</v>
      </c>
      <c r="M12" s="449" t="s">
        <v>48</v>
      </c>
      <c r="N12" s="888" t="s">
        <v>47</v>
      </c>
      <c r="O12" s="449" t="s">
        <v>48</v>
      </c>
      <c r="P12" s="266"/>
      <c r="Q12" s="266"/>
      <c r="R12" s="202"/>
      <c r="S12" s="202"/>
      <c r="T12" s="202"/>
    </row>
    <row r="13" spans="1:20" ht="15.75">
      <c r="A13" s="450"/>
      <c r="B13" s="889"/>
      <c r="C13" s="890">
        <v>646000</v>
      </c>
      <c r="D13" s="891">
        <v>513000</v>
      </c>
      <c r="E13" s="223"/>
      <c r="F13" s="222"/>
      <c r="G13" s="221"/>
      <c r="H13" s="453"/>
      <c r="I13" s="415"/>
      <c r="J13" s="560"/>
      <c r="K13" s="44"/>
      <c r="L13" s="892"/>
      <c r="M13" s="893"/>
      <c r="N13" s="560"/>
      <c r="O13" s="44"/>
      <c r="P13" s="266"/>
      <c r="Q13" s="266"/>
      <c r="R13" s="202"/>
      <c r="S13" s="202"/>
      <c r="T13" s="202"/>
    </row>
    <row r="14" spans="1:20" ht="15.75">
      <c r="A14" s="894">
        <v>1</v>
      </c>
      <c r="B14" s="895" t="s">
        <v>1427</v>
      </c>
      <c r="C14" s="896">
        <f>646000/3900</f>
        <v>165.64102564102564</v>
      </c>
      <c r="D14" s="897">
        <f>D13/3900</f>
        <v>131.53846153846155</v>
      </c>
      <c r="E14" s="898">
        <f>'[1]E-16 Estimate'!G11</f>
        <v>520086.91993200005</v>
      </c>
      <c r="F14" s="899" t="s">
        <v>192</v>
      </c>
      <c r="G14" s="900">
        <v>1</v>
      </c>
      <c r="H14" s="901">
        <v>330000</v>
      </c>
      <c r="I14" s="902">
        <v>280000</v>
      </c>
      <c r="J14" s="903">
        <v>513000</v>
      </c>
      <c r="K14" s="904">
        <v>513000</v>
      </c>
      <c r="L14" s="905">
        <v>640000</v>
      </c>
      <c r="M14" s="363">
        <v>620000</v>
      </c>
      <c r="N14" s="903">
        <v>700000</v>
      </c>
      <c r="O14" s="904">
        <v>700000</v>
      </c>
      <c r="P14" s="906" t="s">
        <v>1428</v>
      </c>
      <c r="Q14" s="906" t="s">
        <v>136</v>
      </c>
      <c r="R14" s="202"/>
      <c r="S14" s="202"/>
      <c r="T14" s="202"/>
    </row>
    <row r="15" spans="1:20" ht="15.75">
      <c r="A15" s="894">
        <v>2</v>
      </c>
      <c r="B15" s="895"/>
      <c r="C15" s="907"/>
      <c r="D15" s="908"/>
      <c r="E15" s="227"/>
      <c r="F15" s="228"/>
      <c r="G15" s="900"/>
      <c r="H15" s="901">
        <v>450000</v>
      </c>
      <c r="I15" s="902">
        <v>400000</v>
      </c>
      <c r="J15" s="903"/>
      <c r="K15" s="904"/>
      <c r="L15" s="905"/>
      <c r="M15" s="363"/>
      <c r="N15" s="903"/>
      <c r="O15" s="904"/>
      <c r="P15" s="235"/>
      <c r="Q15" s="235"/>
      <c r="R15" s="202"/>
      <c r="S15" s="202"/>
      <c r="T15" s="202"/>
    </row>
    <row r="16" spans="1:20" ht="15.75" thickBot="1">
      <c r="A16" s="245"/>
      <c r="B16" s="1126"/>
      <c r="C16" s="570"/>
      <c r="D16" s="570"/>
      <c r="E16" s="909"/>
      <c r="F16" s="910"/>
      <c r="G16" s="245"/>
      <c r="H16" s="247"/>
      <c r="I16" s="83"/>
      <c r="J16" s="573"/>
      <c r="K16" s="911"/>
      <c r="L16" s="572"/>
      <c r="M16" s="911"/>
      <c r="N16" s="573"/>
      <c r="O16" s="911"/>
      <c r="P16" s="574"/>
      <c r="Q16" s="574"/>
      <c r="R16" s="202"/>
      <c r="S16" s="202"/>
      <c r="T16" s="202"/>
    </row>
    <row r="17" spans="1:20" s="7" customFormat="1" ht="13.5" thickBot="1">
      <c r="A17" s="90" t="s">
        <v>58</v>
      </c>
      <c r="B17" s="91"/>
      <c r="C17" s="91">
        <f>SUM(C14:C16)</f>
        <v>165.64102564102564</v>
      </c>
      <c r="D17" s="91"/>
      <c r="E17" s="373">
        <f>SUMPRODUCT(E14:E16, $G$14:$G$16)</f>
        <v>520086.91993200005</v>
      </c>
      <c r="F17" s="93"/>
      <c r="G17" s="575">
        <f>SUM(G14:G16)</f>
        <v>1</v>
      </c>
      <c r="H17" s="373">
        <f t="shared" ref="H17:O17" si="0">SUMPRODUCT(H13:H16, $G$13:$G$16)</f>
        <v>330000</v>
      </c>
      <c r="I17" s="373">
        <f t="shared" si="0"/>
        <v>280000</v>
      </c>
      <c r="J17" s="373">
        <f t="shared" si="0"/>
        <v>513000</v>
      </c>
      <c r="K17" s="373">
        <f t="shared" si="0"/>
        <v>513000</v>
      </c>
      <c r="L17" s="373">
        <f t="shared" si="0"/>
        <v>640000</v>
      </c>
      <c r="M17" s="373">
        <f t="shared" si="0"/>
        <v>620000</v>
      </c>
      <c r="N17" s="373">
        <f t="shared" si="0"/>
        <v>700000</v>
      </c>
      <c r="O17" s="373">
        <f t="shared" si="0"/>
        <v>700000</v>
      </c>
      <c r="P17" s="432"/>
      <c r="Q17" s="374"/>
      <c r="R17" s="576"/>
      <c r="S17" s="577"/>
      <c r="T17" s="576"/>
    </row>
    <row r="18" spans="1:20">
      <c r="A18" s="1860" t="s">
        <v>59</v>
      </c>
      <c r="B18" s="1861"/>
      <c r="C18" s="726"/>
      <c r="D18" s="726"/>
      <c r="E18" s="97"/>
      <c r="F18" s="97"/>
      <c r="G18" s="376"/>
      <c r="H18" s="377"/>
      <c r="I18" s="378"/>
      <c r="J18" s="377"/>
      <c r="K18" s="378"/>
      <c r="L18" s="377"/>
      <c r="M18" s="378"/>
      <c r="N18" s="377"/>
      <c r="O18" s="378"/>
      <c r="R18" s="202"/>
      <c r="S18" s="578"/>
      <c r="T18" s="202"/>
    </row>
    <row r="19" spans="1:20">
      <c r="A19" s="727" t="s">
        <v>60</v>
      </c>
      <c r="B19" s="728"/>
      <c r="C19" s="726"/>
      <c r="D19" s="726"/>
      <c r="E19" s="97"/>
      <c r="F19" s="97"/>
      <c r="G19" s="376"/>
      <c r="H19" s="380"/>
      <c r="I19" s="381" t="s">
        <v>61</v>
      </c>
      <c r="J19" s="380"/>
      <c r="K19" s="381" t="s">
        <v>61</v>
      </c>
      <c r="L19" s="380"/>
      <c r="M19" s="381" t="s">
        <v>61</v>
      </c>
      <c r="N19" s="380"/>
      <c r="O19" s="381" t="s">
        <v>61</v>
      </c>
    </row>
    <row r="20" spans="1:20">
      <c r="A20" s="1862" t="s">
        <v>62</v>
      </c>
      <c r="B20" s="1863"/>
      <c r="C20" s="726"/>
      <c r="D20" s="726"/>
      <c r="E20" s="97"/>
      <c r="F20" s="97"/>
      <c r="G20" s="376"/>
      <c r="H20" s="380"/>
      <c r="I20" s="381"/>
      <c r="J20" s="380"/>
      <c r="K20" s="381"/>
      <c r="L20" s="912">
        <v>6000</v>
      </c>
      <c r="M20" s="912">
        <v>0</v>
      </c>
      <c r="N20" s="380"/>
      <c r="O20" s="381"/>
    </row>
    <row r="21" spans="1:20" ht="12.95" customHeight="1">
      <c r="A21" s="107" t="s">
        <v>1429</v>
      </c>
      <c r="B21" s="108"/>
      <c r="C21" s="108"/>
      <c r="D21" s="108"/>
      <c r="E21" s="108"/>
      <c r="F21" s="108"/>
      <c r="G21" s="109"/>
      <c r="H21" s="110">
        <v>0.125</v>
      </c>
      <c r="I21" s="110">
        <v>0.125</v>
      </c>
      <c r="J21" s="110">
        <v>0.125</v>
      </c>
      <c r="K21" s="110">
        <v>0.125</v>
      </c>
      <c r="L21" s="110">
        <v>0.125</v>
      </c>
      <c r="M21" s="110">
        <v>0.125</v>
      </c>
      <c r="N21" s="110">
        <v>0.125</v>
      </c>
      <c r="O21" s="110">
        <v>0.125</v>
      </c>
    </row>
    <row r="22" spans="1:20" ht="12.95" customHeight="1">
      <c r="A22" s="107"/>
      <c r="B22" s="108" t="s">
        <v>64</v>
      </c>
      <c r="C22" s="108"/>
      <c r="D22" s="108"/>
      <c r="E22" s="111"/>
      <c r="F22" s="111"/>
      <c r="G22" s="112"/>
      <c r="H22" s="384">
        <f>(H17+H18+H19+H20)*H21</f>
        <v>41250</v>
      </c>
      <c r="I22" s="385">
        <f>(I17+I18+I20)*I21</f>
        <v>35000</v>
      </c>
      <c r="J22" s="384">
        <f>(J17+J18+J19+J20)*J21</f>
        <v>64125</v>
      </c>
      <c r="K22" s="385">
        <f>(K17+K18+K20)*K21</f>
        <v>64125</v>
      </c>
      <c r="L22" s="384">
        <f>(L17+L18+L19+L20)*L21</f>
        <v>80750</v>
      </c>
      <c r="M22" s="385">
        <f>(M17+M18)*M21</f>
        <v>77500</v>
      </c>
      <c r="N22" s="384">
        <f>(N17+N18+N19+N20)*N21</f>
        <v>87500</v>
      </c>
      <c r="O22" s="385">
        <f>(O17+O18+O20)*O21</f>
        <v>87500</v>
      </c>
    </row>
    <row r="23" spans="1:20">
      <c r="A23" s="1862" t="s">
        <v>65</v>
      </c>
      <c r="B23" s="1863"/>
      <c r="C23" s="728"/>
      <c r="D23" s="728"/>
      <c r="E23" s="111"/>
      <c r="F23" s="116"/>
      <c r="G23" s="117"/>
      <c r="H23" s="387">
        <v>0.125</v>
      </c>
      <c r="I23" s="387">
        <v>0.125</v>
      </c>
      <c r="J23" s="387"/>
      <c r="K23" s="387"/>
      <c r="L23" s="387">
        <v>0.125</v>
      </c>
      <c r="M23" s="387">
        <v>0.125</v>
      </c>
      <c r="N23" s="387"/>
      <c r="O23" s="387"/>
    </row>
    <row r="24" spans="1:20" ht="12.95" customHeight="1">
      <c r="A24" s="727"/>
      <c r="B24" s="728" t="s">
        <v>66</v>
      </c>
      <c r="C24" s="728"/>
      <c r="D24" s="728"/>
      <c r="E24" s="111"/>
      <c r="F24" s="116"/>
      <c r="G24" s="117"/>
      <c r="H24" s="384">
        <f>(H22+H18+H19+H20+H17)*H23</f>
        <v>46406.25</v>
      </c>
      <c r="I24" s="385">
        <f>(I22+I18+I20+I17)*I23</f>
        <v>39375</v>
      </c>
      <c r="J24" s="384">
        <f>(J22+J18+J19+J20+J17)*J23</f>
        <v>0</v>
      </c>
      <c r="K24" s="385">
        <f>(K22+K18+K20+K17)*K23</f>
        <v>0</v>
      </c>
      <c r="L24" s="384">
        <f>(L22+L18+L19+L20+L17)*L23</f>
        <v>90843.75</v>
      </c>
      <c r="M24" s="385">
        <f>(M22+M18+M20+M17)*M23</f>
        <v>87187.5</v>
      </c>
      <c r="N24" s="384">
        <f>(N22+N18+N19+N20+N17)*N23</f>
        <v>0</v>
      </c>
      <c r="O24" s="385">
        <f>(O22+O18+O20+O17)*O23</f>
        <v>0</v>
      </c>
    </row>
    <row r="25" spans="1:20" ht="12.95" customHeight="1">
      <c r="A25" s="727" t="s">
        <v>67</v>
      </c>
      <c r="B25" s="728"/>
      <c r="C25" s="728"/>
      <c r="D25" s="728"/>
      <c r="E25" s="111"/>
      <c r="F25" s="116"/>
      <c r="G25" s="117"/>
      <c r="H25" s="387"/>
      <c r="I25" s="387"/>
      <c r="J25" s="387">
        <v>0.02</v>
      </c>
      <c r="K25" s="387">
        <v>0.02</v>
      </c>
      <c r="L25" s="387"/>
      <c r="M25" s="387"/>
      <c r="N25" s="387">
        <v>0.02</v>
      </c>
      <c r="O25" s="387">
        <v>0.02</v>
      </c>
    </row>
    <row r="26" spans="1:20" ht="12.95" customHeight="1">
      <c r="A26" s="727"/>
      <c r="B26" s="728" t="s">
        <v>68</v>
      </c>
      <c r="C26" s="728"/>
      <c r="D26" s="728"/>
      <c r="E26" s="111"/>
      <c r="F26" s="116"/>
      <c r="G26" s="117"/>
      <c r="H26" s="384">
        <f>(H22+H18+H19+H20+H17)*H25</f>
        <v>0</v>
      </c>
      <c r="I26" s="385">
        <f>(I22+I18+I20+I17)*I25</f>
        <v>0</v>
      </c>
      <c r="J26" s="384">
        <f>(J22+J18+J19+J20+J17)*J25</f>
        <v>11542.5</v>
      </c>
      <c r="K26" s="385">
        <f>(K22+K18+K20+K17)*K25</f>
        <v>11542.5</v>
      </c>
      <c r="L26" s="384">
        <f>(L22+L18+L19+L20+L17)*L25</f>
        <v>0</v>
      </c>
      <c r="M26" s="385">
        <f>(M22+M18+M20+M17)*M25</f>
        <v>0</v>
      </c>
      <c r="N26" s="384">
        <f>(N22+N18+N19+N20+N17)*N25</f>
        <v>15750</v>
      </c>
      <c r="O26" s="385">
        <f>(O22+O18+O20+O17)*O25</f>
        <v>15750</v>
      </c>
    </row>
    <row r="27" spans="1:20" ht="12.95" customHeight="1">
      <c r="A27" s="1862" t="s">
        <v>1430</v>
      </c>
      <c r="B27" s="1863"/>
      <c r="C27" s="728"/>
      <c r="D27" s="728"/>
      <c r="E27" s="111"/>
      <c r="F27" s="120"/>
      <c r="G27" s="117"/>
      <c r="H27" s="387"/>
      <c r="I27" s="388"/>
      <c r="J27" s="387"/>
      <c r="K27" s="388"/>
      <c r="L27" s="387"/>
      <c r="M27" s="388"/>
      <c r="N27" s="387"/>
      <c r="O27" s="388"/>
    </row>
    <row r="28" spans="1:20" ht="12.95" customHeight="1">
      <c r="A28" s="729"/>
      <c r="B28" s="730" t="s">
        <v>70</v>
      </c>
      <c r="C28" s="730"/>
      <c r="D28" s="730"/>
      <c r="E28" s="124"/>
      <c r="F28" s="125"/>
      <c r="G28" s="126"/>
      <c r="H28" s="384">
        <f t="shared" ref="H28:O28" si="1">H17*H27</f>
        <v>0</v>
      </c>
      <c r="I28" s="385">
        <f t="shared" si="1"/>
        <v>0</v>
      </c>
      <c r="J28" s="384">
        <f t="shared" si="1"/>
        <v>0</v>
      </c>
      <c r="K28" s="385">
        <f t="shared" si="1"/>
        <v>0</v>
      </c>
      <c r="L28" s="384">
        <f t="shared" si="1"/>
        <v>0</v>
      </c>
      <c r="M28" s="385">
        <f t="shared" si="1"/>
        <v>0</v>
      </c>
      <c r="N28" s="384">
        <f t="shared" si="1"/>
        <v>0</v>
      </c>
      <c r="O28" s="385">
        <f t="shared" si="1"/>
        <v>0</v>
      </c>
    </row>
    <row r="29" spans="1:20" ht="13.5" thickBot="1">
      <c r="A29" s="1864"/>
      <c r="B29" s="1865"/>
      <c r="C29" s="730"/>
      <c r="D29" s="730"/>
      <c r="E29" s="124"/>
      <c r="F29" s="124"/>
      <c r="G29" s="391"/>
      <c r="H29" s="392"/>
      <c r="I29" s="393"/>
      <c r="J29" s="392"/>
      <c r="K29" s="393"/>
      <c r="L29" s="392"/>
      <c r="M29" s="393"/>
      <c r="N29" s="392"/>
      <c r="O29" s="393"/>
    </row>
    <row r="30" spans="1:20" ht="13.5" thickBot="1">
      <c r="A30" s="131" t="s">
        <v>71</v>
      </c>
      <c r="B30" s="132"/>
      <c r="C30" s="132"/>
      <c r="D30" s="132"/>
      <c r="E30" s="132"/>
      <c r="F30" s="132"/>
      <c r="G30" s="132"/>
      <c r="H30" s="134">
        <f t="shared" ref="H30:O30" si="2">SUM(H17:H29)</f>
        <v>417656.5</v>
      </c>
      <c r="I30" s="135">
        <f t="shared" si="2"/>
        <v>354375.25</v>
      </c>
      <c r="J30" s="134">
        <f t="shared" si="2"/>
        <v>588667.64500000002</v>
      </c>
      <c r="K30" s="135">
        <f t="shared" si="2"/>
        <v>588667.64500000002</v>
      </c>
      <c r="L30" s="134">
        <f t="shared" si="2"/>
        <v>817594</v>
      </c>
      <c r="M30" s="135">
        <f t="shared" si="2"/>
        <v>784687.75</v>
      </c>
      <c r="N30" s="134">
        <f t="shared" si="2"/>
        <v>803250.14500000002</v>
      </c>
      <c r="O30" s="135">
        <f t="shared" si="2"/>
        <v>803250.14500000002</v>
      </c>
    </row>
    <row r="31" spans="1:20" s="142" customFormat="1" ht="13.5" thickBot="1">
      <c r="A31" s="137"/>
      <c r="B31" s="138"/>
      <c r="C31" s="138"/>
      <c r="D31" s="138"/>
      <c r="E31" s="138"/>
      <c r="F31" s="138"/>
      <c r="G31" s="138"/>
      <c r="H31" s="139"/>
      <c r="I31" s="140"/>
      <c r="J31" s="139"/>
      <c r="K31" s="140"/>
      <c r="L31" s="139"/>
      <c r="M31" s="140"/>
      <c r="N31" s="139"/>
      <c r="O31" s="140"/>
    </row>
    <row r="32" spans="1:20" s="7" customFormat="1" ht="13.5" thickBot="1">
      <c r="A32" s="131" t="s">
        <v>72</v>
      </c>
      <c r="B32" s="132"/>
      <c r="C32" s="132"/>
      <c r="D32" s="132"/>
      <c r="E32" s="132"/>
      <c r="F32" s="132"/>
      <c r="G32" s="132"/>
      <c r="H32" s="135">
        <f>H17+H26+H18+H20+H19</f>
        <v>330000</v>
      </c>
      <c r="I32" s="143">
        <f>I17+I26</f>
        <v>280000</v>
      </c>
      <c r="J32" s="135">
        <f>J17+J26+J18+J20+J19</f>
        <v>524542.5</v>
      </c>
      <c r="K32" s="143">
        <f>K17+K26</f>
        <v>524542.5</v>
      </c>
      <c r="L32" s="135">
        <f>L17+L26+L18+L20+L19</f>
        <v>646000</v>
      </c>
      <c r="M32" s="143">
        <f>M17+M26+M20</f>
        <v>620000</v>
      </c>
      <c r="N32" s="135">
        <f>N17+N26+N18+N20+N19</f>
        <v>715750</v>
      </c>
      <c r="O32" s="143">
        <f>O17+O26</f>
        <v>715750</v>
      </c>
    </row>
    <row r="33" spans="1:15" ht="13.5" thickBot="1">
      <c r="A33" s="145"/>
      <c r="B33" s="146"/>
      <c r="C33" s="146"/>
      <c r="D33" s="146"/>
      <c r="E33" s="147"/>
      <c r="F33" s="147"/>
      <c r="G33" s="397"/>
      <c r="H33" s="149"/>
      <c r="I33" s="150"/>
      <c r="J33" s="149"/>
      <c r="K33" s="150"/>
      <c r="L33" s="149"/>
      <c r="M33" s="150"/>
      <c r="N33" s="149"/>
      <c r="O33" s="150"/>
    </row>
    <row r="34" spans="1:15">
      <c r="A34" s="155" t="s">
        <v>73</v>
      </c>
      <c r="B34" s="156" t="s">
        <v>74</v>
      </c>
      <c r="C34" s="398"/>
      <c r="D34" s="398"/>
      <c r="E34" s="157"/>
      <c r="F34" s="157"/>
      <c r="G34" s="399"/>
      <c r="H34" s="434" t="s">
        <v>1431</v>
      </c>
      <c r="I34" s="159" t="s">
        <v>390</v>
      </c>
      <c r="J34" s="159" t="s">
        <v>1403</v>
      </c>
      <c r="K34" s="159" t="s">
        <v>1403</v>
      </c>
      <c r="L34" s="159" t="s">
        <v>1432</v>
      </c>
      <c r="M34" s="159" t="s">
        <v>1432</v>
      </c>
      <c r="N34" s="159" t="s">
        <v>1432</v>
      </c>
      <c r="O34" s="159" t="s">
        <v>1432</v>
      </c>
    </row>
    <row r="35" spans="1:15" ht="13.5" thickBot="1">
      <c r="A35" s="164" t="s">
        <v>79</v>
      </c>
      <c r="B35" s="165" t="s">
        <v>80</v>
      </c>
      <c r="C35" s="579"/>
      <c r="D35" s="579"/>
      <c r="E35" s="166"/>
      <c r="F35" s="166"/>
      <c r="G35" s="401"/>
      <c r="H35" s="434" t="s">
        <v>165</v>
      </c>
      <c r="I35" s="168" t="s">
        <v>82</v>
      </c>
      <c r="J35" s="159" t="s">
        <v>165</v>
      </c>
      <c r="K35" s="168" t="s">
        <v>82</v>
      </c>
      <c r="L35" s="159" t="s">
        <v>165</v>
      </c>
      <c r="M35" s="168" t="s">
        <v>82</v>
      </c>
      <c r="N35" s="159" t="s">
        <v>165</v>
      </c>
      <c r="O35" s="436" t="s">
        <v>82</v>
      </c>
    </row>
    <row r="36" spans="1:15" ht="255">
      <c r="A36" s="173" t="s">
        <v>85</v>
      </c>
      <c r="B36" s="174" t="s">
        <v>86</v>
      </c>
      <c r="C36" s="174"/>
      <c r="D36" s="174"/>
      <c r="E36" s="175"/>
      <c r="F36" s="175"/>
      <c r="G36" s="402"/>
      <c r="H36" s="177" t="s">
        <v>1433</v>
      </c>
      <c r="I36" s="177" t="s">
        <v>1434</v>
      </c>
      <c r="J36" s="177" t="s">
        <v>1435</v>
      </c>
      <c r="K36" s="177" t="s">
        <v>1436</v>
      </c>
      <c r="L36" s="177" t="s">
        <v>1437</v>
      </c>
      <c r="M36" s="177" t="s">
        <v>1438</v>
      </c>
      <c r="N36" s="177" t="s">
        <v>1439</v>
      </c>
      <c r="O36" s="438" t="s">
        <v>1434</v>
      </c>
    </row>
    <row r="37" spans="1:15">
      <c r="A37" s="181" t="s">
        <v>90</v>
      </c>
      <c r="B37" s="175" t="s">
        <v>91</v>
      </c>
      <c r="C37" s="175"/>
      <c r="D37" s="175"/>
      <c r="E37" s="175"/>
      <c r="F37" s="175"/>
      <c r="G37" s="402"/>
      <c r="H37" s="177" t="s">
        <v>92</v>
      </c>
      <c r="I37" s="182" t="s">
        <v>1440</v>
      </c>
      <c r="J37" s="177" t="s">
        <v>92</v>
      </c>
      <c r="K37" s="182" t="s">
        <v>1440</v>
      </c>
      <c r="L37" s="177" t="s">
        <v>92</v>
      </c>
      <c r="M37" s="182" t="s">
        <v>1440</v>
      </c>
      <c r="N37" s="177" t="s">
        <v>92</v>
      </c>
      <c r="O37" s="440" t="s">
        <v>1440</v>
      </c>
    </row>
    <row r="38" spans="1:15" ht="39.950000000000003" customHeight="1">
      <c r="A38" s="181" t="s">
        <v>93</v>
      </c>
      <c r="B38" s="174" t="s">
        <v>94</v>
      </c>
      <c r="C38" s="174"/>
      <c r="D38" s="174"/>
      <c r="E38" s="175"/>
      <c r="F38" s="175"/>
      <c r="G38" s="402"/>
      <c r="H38" s="184"/>
      <c r="I38" s="185"/>
      <c r="J38" s="184" t="s">
        <v>348</v>
      </c>
      <c r="K38" s="185" t="s">
        <v>1441</v>
      </c>
      <c r="L38" s="184"/>
      <c r="M38" s="185"/>
      <c r="N38" s="184"/>
      <c r="O38" s="442"/>
    </row>
    <row r="39" spans="1:15" ht="255">
      <c r="A39" s="181" t="s">
        <v>95</v>
      </c>
      <c r="B39" s="174" t="s">
        <v>96</v>
      </c>
      <c r="C39" s="174"/>
      <c r="D39" s="174"/>
      <c r="E39" s="175"/>
      <c r="F39" s="175"/>
      <c r="G39" s="402"/>
      <c r="H39" s="177" t="s">
        <v>97</v>
      </c>
      <c r="I39" s="177" t="s">
        <v>97</v>
      </c>
      <c r="J39" s="177" t="s">
        <v>97</v>
      </c>
      <c r="K39" s="177" t="s">
        <v>1442</v>
      </c>
      <c r="L39" s="177" t="s">
        <v>97</v>
      </c>
      <c r="M39" s="177" t="s">
        <v>97</v>
      </c>
      <c r="N39" s="177" t="s">
        <v>97</v>
      </c>
      <c r="O39" s="438" t="s">
        <v>97</v>
      </c>
    </row>
    <row r="40" spans="1:15" ht="90" thickBot="1">
      <c r="A40" s="189" t="s">
        <v>99</v>
      </c>
      <c r="B40" s="190" t="s">
        <v>100</v>
      </c>
      <c r="C40" s="190"/>
      <c r="D40" s="190"/>
      <c r="E40" s="191"/>
      <c r="F40" s="191"/>
      <c r="G40" s="403"/>
      <c r="H40" s="193" t="s">
        <v>101</v>
      </c>
      <c r="I40" s="193" t="s">
        <v>101</v>
      </c>
      <c r="J40" s="193" t="s">
        <v>101</v>
      </c>
      <c r="K40" s="177" t="s">
        <v>1443</v>
      </c>
      <c r="L40" s="193" t="s">
        <v>101</v>
      </c>
      <c r="M40" s="193" t="s">
        <v>101</v>
      </c>
      <c r="N40" s="193" t="s">
        <v>101</v>
      </c>
      <c r="O40" s="444" t="s">
        <v>101</v>
      </c>
    </row>
    <row r="41" spans="1:15" ht="30" customHeight="1">
      <c r="A41" s="1866" t="s">
        <v>102</v>
      </c>
      <c r="B41" s="1867"/>
      <c r="C41" s="1867"/>
      <c r="D41" s="1867"/>
      <c r="E41" s="1867"/>
      <c r="F41" s="1856" t="s">
        <v>103</v>
      </c>
      <c r="G41" s="1857"/>
      <c r="H41" s="1857"/>
      <c r="I41" s="1857"/>
      <c r="J41" s="724"/>
      <c r="K41" s="724"/>
      <c r="L41" s="724"/>
      <c r="M41" s="724"/>
      <c r="N41" s="724"/>
      <c r="O41" s="725"/>
    </row>
    <row r="42" spans="1:15" ht="13.5" thickBot="1">
      <c r="A42" s="1866"/>
      <c r="B42" s="1867"/>
      <c r="C42" s="1867"/>
      <c r="D42" s="1867"/>
      <c r="E42" s="1867"/>
      <c r="F42" s="1858"/>
      <c r="G42" s="1859"/>
      <c r="H42" s="1859"/>
      <c r="I42" s="1859"/>
      <c r="J42" s="722"/>
      <c r="K42" s="722"/>
      <c r="L42" s="722"/>
      <c r="M42" s="722"/>
      <c r="N42" s="722"/>
      <c r="O42" s="723"/>
    </row>
    <row r="43" spans="1:15">
      <c r="A43" s="149"/>
      <c r="B43" s="197"/>
      <c r="C43" s="197"/>
      <c r="D43" s="197"/>
      <c r="E43" s="152"/>
      <c r="F43" s="149"/>
      <c r="G43" s="406"/>
      <c r="H43" s="152"/>
      <c r="I43" s="152"/>
      <c r="J43" s="152"/>
      <c r="K43" s="152"/>
      <c r="L43" s="152"/>
      <c r="M43" s="152"/>
      <c r="N43" s="152"/>
      <c r="O43" s="199"/>
    </row>
    <row r="44" spans="1:15">
      <c r="A44" s="200"/>
      <c r="B44" s="201"/>
      <c r="C44" s="201"/>
      <c r="D44" s="201"/>
      <c r="E44" s="202"/>
      <c r="F44" s="200"/>
      <c r="G44" s="407"/>
      <c r="H44" s="202"/>
      <c r="I44" s="202"/>
      <c r="J44" s="202"/>
      <c r="K44" s="202"/>
      <c r="L44" s="202"/>
      <c r="M44" s="202"/>
      <c r="N44" s="202"/>
      <c r="O44" s="204"/>
    </row>
    <row r="45" spans="1:15">
      <c r="A45" s="200"/>
      <c r="B45" s="27" t="s">
        <v>105</v>
      </c>
      <c r="C45" s="27"/>
      <c r="D45" s="27"/>
      <c r="E45" s="28"/>
      <c r="F45" s="913"/>
      <c r="G45" s="28" t="s">
        <v>106</v>
      </c>
      <c r="H45" s="202"/>
      <c r="I45" s="28"/>
      <c r="J45" s="202"/>
      <c r="K45" s="28"/>
      <c r="L45" s="202"/>
      <c r="M45" s="28"/>
      <c r="N45" s="28"/>
      <c r="O45" s="204"/>
    </row>
    <row r="46" spans="1:15" ht="13.5" thickBot="1">
      <c r="A46" s="205"/>
      <c r="B46" s="206"/>
      <c r="C46" s="206"/>
      <c r="D46" s="206"/>
      <c r="E46" s="207"/>
      <c r="F46" s="205"/>
      <c r="G46" s="207"/>
      <c r="H46" s="207"/>
      <c r="I46" s="207"/>
      <c r="J46" s="207"/>
      <c r="K46" s="207"/>
      <c r="L46" s="207"/>
      <c r="M46" s="207"/>
      <c r="N46" s="207"/>
      <c r="O46" s="208"/>
    </row>
    <row r="50" spans="1:20" ht="15.75">
      <c r="A50" s="202"/>
      <c r="B50" s="914"/>
      <c r="C50" s="914"/>
      <c r="D50" s="914"/>
      <c r="E50" s="202"/>
      <c r="F50" s="914"/>
      <c r="G50" s="915"/>
      <c r="H50" s="916"/>
      <c r="I50" s="917"/>
      <c r="J50" s="916"/>
      <c r="K50" s="917"/>
      <c r="L50" s="916"/>
      <c r="M50" s="917"/>
      <c r="N50" s="917"/>
      <c r="O50" s="917"/>
      <c r="P50" s="914"/>
      <c r="Q50" s="914"/>
      <c r="R50" s="202"/>
      <c r="S50" s="202"/>
      <c r="T50" s="202"/>
    </row>
    <row r="51" spans="1:20" ht="15.75">
      <c r="A51" s="202"/>
      <c r="B51" s="914"/>
      <c r="C51" s="914"/>
      <c r="D51" s="914"/>
      <c r="E51" s="918"/>
      <c r="F51" s="914"/>
      <c r="G51" s="915"/>
      <c r="H51" s="916"/>
      <c r="I51" s="917"/>
      <c r="J51" s="916"/>
      <c r="K51" s="917"/>
      <c r="L51" s="916"/>
      <c r="M51" s="917"/>
      <c r="N51" s="917"/>
      <c r="O51" s="917"/>
      <c r="P51" s="914"/>
      <c r="Q51" s="914"/>
      <c r="R51" s="202"/>
      <c r="S51" s="202"/>
      <c r="T51" s="202"/>
    </row>
    <row r="52" spans="1:20" ht="15.75">
      <c r="A52" s="202"/>
      <c r="B52" s="919"/>
      <c r="C52" s="919"/>
      <c r="D52" s="919"/>
      <c r="E52" s="918"/>
      <c r="F52" s="919"/>
      <c r="G52" s="920"/>
      <c r="H52" s="916"/>
      <c r="I52" s="917"/>
      <c r="J52" s="916"/>
      <c r="K52" s="917"/>
      <c r="L52" s="916"/>
      <c r="M52" s="917"/>
      <c r="N52" s="917"/>
      <c r="O52" s="917"/>
      <c r="P52" s="914"/>
      <c r="Q52" s="914"/>
      <c r="R52" s="202"/>
      <c r="S52" s="202"/>
      <c r="T52" s="202"/>
    </row>
  </sheetData>
  <mergeCells count="33">
    <mergeCell ref="A7:A12"/>
    <mergeCell ref="B7:B12"/>
    <mergeCell ref="E7:E12"/>
    <mergeCell ref="F7:F12"/>
    <mergeCell ref="G7:G12"/>
    <mergeCell ref="A2:I2"/>
    <mergeCell ref="A3:I3"/>
    <mergeCell ref="G4:G5"/>
    <mergeCell ref="H4:I5"/>
    <mergeCell ref="L4:M5"/>
    <mergeCell ref="H7:I7"/>
    <mergeCell ref="J7:K7"/>
    <mergeCell ref="L7:M7"/>
    <mergeCell ref="N7:O7"/>
    <mergeCell ref="H8:I9"/>
    <mergeCell ref="J8:K9"/>
    <mergeCell ref="L8:M9"/>
    <mergeCell ref="N8:O9"/>
    <mergeCell ref="H10:I10"/>
    <mergeCell ref="J10:K10"/>
    <mergeCell ref="L10:M10"/>
    <mergeCell ref="N10:O10"/>
    <mergeCell ref="H11:I11"/>
    <mergeCell ref="J11:K11"/>
    <mergeCell ref="L11:M11"/>
    <mergeCell ref="N11:O11"/>
    <mergeCell ref="F41:I42"/>
    <mergeCell ref="A18:B18"/>
    <mergeCell ref="A20:B20"/>
    <mergeCell ref="A23:B23"/>
    <mergeCell ref="A27:B27"/>
    <mergeCell ref="A29:B29"/>
    <mergeCell ref="A41:E42"/>
  </mergeCells>
  <pageMargins left="0.25" right="0.25" top="0.75" bottom="0.75" header="0.3" footer="0.3"/>
  <pageSetup scale="50" orientation="landscape"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2"/>
  <sheetViews>
    <sheetView topLeftCell="A10" zoomScaleNormal="100" workbookViewId="0">
      <selection activeCell="F8" sqref="F8:G9"/>
    </sheetView>
  </sheetViews>
  <sheetFormatPr defaultRowHeight="12.75"/>
  <cols>
    <col min="1" max="1" width="6.140625" style="754" customWidth="1"/>
    <col min="2" max="2" width="52.7109375" style="873" customWidth="1"/>
    <col min="3" max="3" width="16" style="754" customWidth="1"/>
    <col min="4" max="4" width="6.140625" style="754" customWidth="1"/>
    <col min="5" max="5" width="12.7109375" style="754" customWidth="1"/>
    <col min="6" max="6" width="20.5703125" style="754" customWidth="1"/>
    <col min="7" max="7" width="18.85546875" style="754" customWidth="1"/>
    <col min="8" max="8" width="17.5703125" style="754" customWidth="1"/>
    <col min="9" max="9" width="18.42578125" style="754" customWidth="1"/>
    <col min="10" max="10" width="17.5703125" style="754" customWidth="1"/>
    <col min="11" max="11" width="18.42578125" style="754" customWidth="1"/>
    <col min="12" max="12" width="12.42578125" style="754" bestFit="1" customWidth="1"/>
    <col min="13" max="13" width="11.140625" style="754" bestFit="1" customWidth="1"/>
    <col min="14" max="14" width="9.140625" style="754"/>
    <col min="15" max="15" width="11" style="754" bestFit="1" customWidth="1"/>
    <col min="16" max="250" width="9.140625" style="754"/>
    <col min="251" max="251" width="4" style="754" customWidth="1"/>
    <col min="252" max="252" width="30.7109375" style="754" customWidth="1"/>
    <col min="253" max="254" width="10" style="754" customWidth="1"/>
    <col min="255" max="255" width="9.85546875" style="754" customWidth="1"/>
    <col min="256" max="256" width="12.42578125" style="754" customWidth="1"/>
    <col min="257" max="262" width="12.7109375" style="754" customWidth="1"/>
    <col min="263" max="263" width="13" style="754" customWidth="1"/>
    <col min="264" max="265" width="12.7109375" style="754" customWidth="1"/>
    <col min="266" max="266" width="9.140625" style="754"/>
    <col min="267" max="267" width="11.140625" style="754" bestFit="1" customWidth="1"/>
    <col min="268" max="506" width="9.140625" style="754"/>
    <col min="507" max="507" width="4" style="754" customWidth="1"/>
    <col min="508" max="508" width="30.7109375" style="754" customWidth="1"/>
    <col min="509" max="510" width="10" style="754" customWidth="1"/>
    <col min="511" max="511" width="9.85546875" style="754" customWidth="1"/>
    <col min="512" max="512" width="12.42578125" style="754" customWidth="1"/>
    <col min="513" max="518" width="12.7109375" style="754" customWidth="1"/>
    <col min="519" max="519" width="13" style="754" customWidth="1"/>
    <col min="520" max="521" width="12.7109375" style="754" customWidth="1"/>
    <col min="522" max="522" width="9.140625" style="754"/>
    <col min="523" max="523" width="11.140625" style="754" bestFit="1" customWidth="1"/>
    <col min="524" max="762" width="9.140625" style="754"/>
    <col min="763" max="763" width="4" style="754" customWidth="1"/>
    <col min="764" max="764" width="30.7109375" style="754" customWidth="1"/>
    <col min="765" max="766" width="10" style="754" customWidth="1"/>
    <col min="767" max="767" width="9.85546875" style="754" customWidth="1"/>
    <col min="768" max="768" width="12.42578125" style="754" customWidth="1"/>
    <col min="769" max="774" width="12.7109375" style="754" customWidth="1"/>
    <col min="775" max="775" width="13" style="754" customWidth="1"/>
    <col min="776" max="777" width="12.7109375" style="754" customWidth="1"/>
    <col min="778" max="778" width="9.140625" style="754"/>
    <col min="779" max="779" width="11.140625" style="754" bestFit="1" customWidth="1"/>
    <col min="780" max="1018" width="9.140625" style="754"/>
    <col min="1019" max="1019" width="4" style="754" customWidth="1"/>
    <col min="1020" max="1020" width="30.7109375" style="754" customWidth="1"/>
    <col min="1021" max="1022" width="10" style="754" customWidth="1"/>
    <col min="1023" max="1023" width="9.85546875" style="754" customWidth="1"/>
    <col min="1024" max="1024" width="12.42578125" style="754" customWidth="1"/>
    <col min="1025" max="1030" width="12.7109375" style="754" customWidth="1"/>
    <col min="1031" max="1031" width="13" style="754" customWidth="1"/>
    <col min="1032" max="1033" width="12.7109375" style="754" customWidth="1"/>
    <col min="1034" max="1034" width="9.140625" style="754"/>
    <col min="1035" max="1035" width="11.140625" style="754" bestFit="1" customWidth="1"/>
    <col min="1036" max="1274" width="9.140625" style="754"/>
    <col min="1275" max="1275" width="4" style="754" customWidth="1"/>
    <col min="1276" max="1276" width="30.7109375" style="754" customWidth="1"/>
    <col min="1277" max="1278" width="10" style="754" customWidth="1"/>
    <col min="1279" max="1279" width="9.85546875" style="754" customWidth="1"/>
    <col min="1280" max="1280" width="12.42578125" style="754" customWidth="1"/>
    <col min="1281" max="1286" width="12.7109375" style="754" customWidth="1"/>
    <col min="1287" max="1287" width="13" style="754" customWidth="1"/>
    <col min="1288" max="1289" width="12.7109375" style="754" customWidth="1"/>
    <col min="1290" max="1290" width="9.140625" style="754"/>
    <col min="1291" max="1291" width="11.140625" style="754" bestFit="1" customWidth="1"/>
    <col min="1292" max="1530" width="9.140625" style="754"/>
    <col min="1531" max="1531" width="4" style="754" customWidth="1"/>
    <col min="1532" max="1532" width="30.7109375" style="754" customWidth="1"/>
    <col min="1533" max="1534" width="10" style="754" customWidth="1"/>
    <col min="1535" max="1535" width="9.85546875" style="754" customWidth="1"/>
    <col min="1536" max="1536" width="12.42578125" style="754" customWidth="1"/>
    <col min="1537" max="1542" width="12.7109375" style="754" customWidth="1"/>
    <col min="1543" max="1543" width="13" style="754" customWidth="1"/>
    <col min="1544" max="1545" width="12.7109375" style="754" customWidth="1"/>
    <col min="1546" max="1546" width="9.140625" style="754"/>
    <col min="1547" max="1547" width="11.140625" style="754" bestFit="1" customWidth="1"/>
    <col min="1548" max="1786" width="9.140625" style="754"/>
    <col min="1787" max="1787" width="4" style="754" customWidth="1"/>
    <col min="1788" max="1788" width="30.7109375" style="754" customWidth="1"/>
    <col min="1789" max="1790" width="10" style="754" customWidth="1"/>
    <col min="1791" max="1791" width="9.85546875" style="754" customWidth="1"/>
    <col min="1792" max="1792" width="12.42578125" style="754" customWidth="1"/>
    <col min="1793" max="1798" width="12.7109375" style="754" customWidth="1"/>
    <col min="1799" max="1799" width="13" style="754" customWidth="1"/>
    <col min="1800" max="1801" width="12.7109375" style="754" customWidth="1"/>
    <col min="1802" max="1802" width="9.140625" style="754"/>
    <col min="1803" max="1803" width="11.140625" style="754" bestFit="1" customWidth="1"/>
    <col min="1804" max="2042" width="9.140625" style="754"/>
    <col min="2043" max="2043" width="4" style="754" customWidth="1"/>
    <col min="2044" max="2044" width="30.7109375" style="754" customWidth="1"/>
    <col min="2045" max="2046" width="10" style="754" customWidth="1"/>
    <col min="2047" max="2047" width="9.85546875" style="754" customWidth="1"/>
    <col min="2048" max="2048" width="12.42578125" style="754" customWidth="1"/>
    <col min="2049" max="2054" width="12.7109375" style="754" customWidth="1"/>
    <col min="2055" max="2055" width="13" style="754" customWidth="1"/>
    <col min="2056" max="2057" width="12.7109375" style="754" customWidth="1"/>
    <col min="2058" max="2058" width="9.140625" style="754"/>
    <col min="2059" max="2059" width="11.140625" style="754" bestFit="1" customWidth="1"/>
    <col min="2060" max="2298" width="9.140625" style="754"/>
    <col min="2299" max="2299" width="4" style="754" customWidth="1"/>
    <col min="2300" max="2300" width="30.7109375" style="754" customWidth="1"/>
    <col min="2301" max="2302" width="10" style="754" customWidth="1"/>
    <col min="2303" max="2303" width="9.85546875" style="754" customWidth="1"/>
    <col min="2304" max="2304" width="12.42578125" style="754" customWidth="1"/>
    <col min="2305" max="2310" width="12.7109375" style="754" customWidth="1"/>
    <col min="2311" max="2311" width="13" style="754" customWidth="1"/>
    <col min="2312" max="2313" width="12.7109375" style="754" customWidth="1"/>
    <col min="2314" max="2314" width="9.140625" style="754"/>
    <col min="2315" max="2315" width="11.140625" style="754" bestFit="1" customWidth="1"/>
    <col min="2316" max="2554" width="9.140625" style="754"/>
    <col min="2555" max="2555" width="4" style="754" customWidth="1"/>
    <col min="2556" max="2556" width="30.7109375" style="754" customWidth="1"/>
    <col min="2557" max="2558" width="10" style="754" customWidth="1"/>
    <col min="2559" max="2559" width="9.85546875" style="754" customWidth="1"/>
    <col min="2560" max="2560" width="12.42578125" style="754" customWidth="1"/>
    <col min="2561" max="2566" width="12.7109375" style="754" customWidth="1"/>
    <col min="2567" max="2567" width="13" style="754" customWidth="1"/>
    <col min="2568" max="2569" width="12.7109375" style="754" customWidth="1"/>
    <col min="2570" max="2570" width="9.140625" style="754"/>
    <col min="2571" max="2571" width="11.140625" style="754" bestFit="1" customWidth="1"/>
    <col min="2572" max="2810" width="9.140625" style="754"/>
    <col min="2811" max="2811" width="4" style="754" customWidth="1"/>
    <col min="2812" max="2812" width="30.7109375" style="754" customWidth="1"/>
    <col min="2813" max="2814" width="10" style="754" customWidth="1"/>
    <col min="2815" max="2815" width="9.85546875" style="754" customWidth="1"/>
    <col min="2816" max="2816" width="12.42578125" style="754" customWidth="1"/>
    <col min="2817" max="2822" width="12.7109375" style="754" customWidth="1"/>
    <col min="2823" max="2823" width="13" style="754" customWidth="1"/>
    <col min="2824" max="2825" width="12.7109375" style="754" customWidth="1"/>
    <col min="2826" max="2826" width="9.140625" style="754"/>
    <col min="2827" max="2827" width="11.140625" style="754" bestFit="1" customWidth="1"/>
    <col min="2828" max="3066" width="9.140625" style="754"/>
    <col min="3067" max="3067" width="4" style="754" customWidth="1"/>
    <col min="3068" max="3068" width="30.7109375" style="754" customWidth="1"/>
    <col min="3069" max="3070" width="10" style="754" customWidth="1"/>
    <col min="3071" max="3071" width="9.85546875" style="754" customWidth="1"/>
    <col min="3072" max="3072" width="12.42578125" style="754" customWidth="1"/>
    <col min="3073" max="3078" width="12.7109375" style="754" customWidth="1"/>
    <col min="3079" max="3079" width="13" style="754" customWidth="1"/>
    <col min="3080" max="3081" width="12.7109375" style="754" customWidth="1"/>
    <col min="3082" max="3082" width="9.140625" style="754"/>
    <col min="3083" max="3083" width="11.140625" style="754" bestFit="1" customWidth="1"/>
    <col min="3084" max="3322" width="9.140625" style="754"/>
    <col min="3323" max="3323" width="4" style="754" customWidth="1"/>
    <col min="3324" max="3324" width="30.7109375" style="754" customWidth="1"/>
    <col min="3325" max="3326" width="10" style="754" customWidth="1"/>
    <col min="3327" max="3327" width="9.85546875" style="754" customWidth="1"/>
    <col min="3328" max="3328" width="12.42578125" style="754" customWidth="1"/>
    <col min="3329" max="3334" width="12.7109375" style="754" customWidth="1"/>
    <col min="3335" max="3335" width="13" style="754" customWidth="1"/>
    <col min="3336" max="3337" width="12.7109375" style="754" customWidth="1"/>
    <col min="3338" max="3338" width="9.140625" style="754"/>
    <col min="3339" max="3339" width="11.140625" style="754" bestFit="1" customWidth="1"/>
    <col min="3340" max="3578" width="9.140625" style="754"/>
    <col min="3579" max="3579" width="4" style="754" customWidth="1"/>
    <col min="3580" max="3580" width="30.7109375" style="754" customWidth="1"/>
    <col min="3581" max="3582" width="10" style="754" customWidth="1"/>
    <col min="3583" max="3583" width="9.85546875" style="754" customWidth="1"/>
    <col min="3584" max="3584" width="12.42578125" style="754" customWidth="1"/>
    <col min="3585" max="3590" width="12.7109375" style="754" customWidth="1"/>
    <col min="3591" max="3591" width="13" style="754" customWidth="1"/>
    <col min="3592" max="3593" width="12.7109375" style="754" customWidth="1"/>
    <col min="3594" max="3594" width="9.140625" style="754"/>
    <col min="3595" max="3595" width="11.140625" style="754" bestFit="1" customWidth="1"/>
    <col min="3596" max="3834" width="9.140625" style="754"/>
    <col min="3835" max="3835" width="4" style="754" customWidth="1"/>
    <col min="3836" max="3836" width="30.7109375" style="754" customWidth="1"/>
    <col min="3837" max="3838" width="10" style="754" customWidth="1"/>
    <col min="3839" max="3839" width="9.85546875" style="754" customWidth="1"/>
    <col min="3840" max="3840" width="12.42578125" style="754" customWidth="1"/>
    <col min="3841" max="3846" width="12.7109375" style="754" customWidth="1"/>
    <col min="3847" max="3847" width="13" style="754" customWidth="1"/>
    <col min="3848" max="3849" width="12.7109375" style="754" customWidth="1"/>
    <col min="3850" max="3850" width="9.140625" style="754"/>
    <col min="3851" max="3851" width="11.140625" style="754" bestFit="1" customWidth="1"/>
    <col min="3852" max="4090" width="9.140625" style="754"/>
    <col min="4091" max="4091" width="4" style="754" customWidth="1"/>
    <col min="4092" max="4092" width="30.7109375" style="754" customWidth="1"/>
    <col min="4093" max="4094" width="10" style="754" customWidth="1"/>
    <col min="4095" max="4095" width="9.85546875" style="754" customWidth="1"/>
    <col min="4096" max="4096" width="12.42578125" style="754" customWidth="1"/>
    <col min="4097" max="4102" width="12.7109375" style="754" customWidth="1"/>
    <col min="4103" max="4103" width="13" style="754" customWidth="1"/>
    <col min="4104" max="4105" width="12.7109375" style="754" customWidth="1"/>
    <col min="4106" max="4106" width="9.140625" style="754"/>
    <col min="4107" max="4107" width="11.140625" style="754" bestFit="1" customWidth="1"/>
    <col min="4108" max="4346" width="9.140625" style="754"/>
    <col min="4347" max="4347" width="4" style="754" customWidth="1"/>
    <col min="4348" max="4348" width="30.7109375" style="754" customWidth="1"/>
    <col min="4349" max="4350" width="10" style="754" customWidth="1"/>
    <col min="4351" max="4351" width="9.85546875" style="754" customWidth="1"/>
    <col min="4352" max="4352" width="12.42578125" style="754" customWidth="1"/>
    <col min="4353" max="4358" width="12.7109375" style="754" customWidth="1"/>
    <col min="4359" max="4359" width="13" style="754" customWidth="1"/>
    <col min="4360" max="4361" width="12.7109375" style="754" customWidth="1"/>
    <col min="4362" max="4362" width="9.140625" style="754"/>
    <col min="4363" max="4363" width="11.140625" style="754" bestFit="1" customWidth="1"/>
    <col min="4364" max="4602" width="9.140625" style="754"/>
    <col min="4603" max="4603" width="4" style="754" customWidth="1"/>
    <col min="4604" max="4604" width="30.7109375" style="754" customWidth="1"/>
    <col min="4605" max="4606" width="10" style="754" customWidth="1"/>
    <col min="4607" max="4607" width="9.85546875" style="754" customWidth="1"/>
    <col min="4608" max="4608" width="12.42578125" style="754" customWidth="1"/>
    <col min="4609" max="4614" width="12.7109375" style="754" customWidth="1"/>
    <col min="4615" max="4615" width="13" style="754" customWidth="1"/>
    <col min="4616" max="4617" width="12.7109375" style="754" customWidth="1"/>
    <col min="4618" max="4618" width="9.140625" style="754"/>
    <col min="4619" max="4619" width="11.140625" style="754" bestFit="1" customWidth="1"/>
    <col min="4620" max="4858" width="9.140625" style="754"/>
    <col min="4859" max="4859" width="4" style="754" customWidth="1"/>
    <col min="4860" max="4860" width="30.7109375" style="754" customWidth="1"/>
    <col min="4861" max="4862" width="10" style="754" customWidth="1"/>
    <col min="4863" max="4863" width="9.85546875" style="754" customWidth="1"/>
    <col min="4864" max="4864" width="12.42578125" style="754" customWidth="1"/>
    <col min="4865" max="4870" width="12.7109375" style="754" customWidth="1"/>
    <col min="4871" max="4871" width="13" style="754" customWidth="1"/>
    <col min="4872" max="4873" width="12.7109375" style="754" customWidth="1"/>
    <col min="4874" max="4874" width="9.140625" style="754"/>
    <col min="4875" max="4875" width="11.140625" style="754" bestFit="1" customWidth="1"/>
    <col min="4876" max="5114" width="9.140625" style="754"/>
    <col min="5115" max="5115" width="4" style="754" customWidth="1"/>
    <col min="5116" max="5116" width="30.7109375" style="754" customWidth="1"/>
    <col min="5117" max="5118" width="10" style="754" customWidth="1"/>
    <col min="5119" max="5119" width="9.85546875" style="754" customWidth="1"/>
    <col min="5120" max="5120" width="12.42578125" style="754" customWidth="1"/>
    <col min="5121" max="5126" width="12.7109375" style="754" customWidth="1"/>
    <col min="5127" max="5127" width="13" style="754" customWidth="1"/>
    <col min="5128" max="5129" width="12.7109375" style="754" customWidth="1"/>
    <col min="5130" max="5130" width="9.140625" style="754"/>
    <col min="5131" max="5131" width="11.140625" style="754" bestFit="1" customWidth="1"/>
    <col min="5132" max="5370" width="9.140625" style="754"/>
    <col min="5371" max="5371" width="4" style="754" customWidth="1"/>
    <col min="5372" max="5372" width="30.7109375" style="754" customWidth="1"/>
    <col min="5373" max="5374" width="10" style="754" customWidth="1"/>
    <col min="5375" max="5375" width="9.85546875" style="754" customWidth="1"/>
    <col min="5376" max="5376" width="12.42578125" style="754" customWidth="1"/>
    <col min="5377" max="5382" width="12.7109375" style="754" customWidth="1"/>
    <col min="5383" max="5383" width="13" style="754" customWidth="1"/>
    <col min="5384" max="5385" width="12.7109375" style="754" customWidth="1"/>
    <col min="5386" max="5386" width="9.140625" style="754"/>
    <col min="5387" max="5387" width="11.140625" style="754" bestFit="1" customWidth="1"/>
    <col min="5388" max="5626" width="9.140625" style="754"/>
    <col min="5627" max="5627" width="4" style="754" customWidth="1"/>
    <col min="5628" max="5628" width="30.7109375" style="754" customWidth="1"/>
    <col min="5629" max="5630" width="10" style="754" customWidth="1"/>
    <col min="5631" max="5631" width="9.85546875" style="754" customWidth="1"/>
    <col min="5632" max="5632" width="12.42578125" style="754" customWidth="1"/>
    <col min="5633" max="5638" width="12.7109375" style="754" customWidth="1"/>
    <col min="5639" max="5639" width="13" style="754" customWidth="1"/>
    <col min="5640" max="5641" width="12.7109375" style="754" customWidth="1"/>
    <col min="5642" max="5642" width="9.140625" style="754"/>
    <col min="5643" max="5643" width="11.140625" style="754" bestFit="1" customWidth="1"/>
    <col min="5644" max="5882" width="9.140625" style="754"/>
    <col min="5883" max="5883" width="4" style="754" customWidth="1"/>
    <col min="5884" max="5884" width="30.7109375" style="754" customWidth="1"/>
    <col min="5885" max="5886" width="10" style="754" customWidth="1"/>
    <col min="5887" max="5887" width="9.85546875" style="754" customWidth="1"/>
    <col min="5888" max="5888" width="12.42578125" style="754" customWidth="1"/>
    <col min="5889" max="5894" width="12.7109375" style="754" customWidth="1"/>
    <col min="5895" max="5895" width="13" style="754" customWidth="1"/>
    <col min="5896" max="5897" width="12.7109375" style="754" customWidth="1"/>
    <col min="5898" max="5898" width="9.140625" style="754"/>
    <col min="5899" max="5899" width="11.140625" style="754" bestFit="1" customWidth="1"/>
    <col min="5900" max="6138" width="9.140625" style="754"/>
    <col min="6139" max="6139" width="4" style="754" customWidth="1"/>
    <col min="6140" max="6140" width="30.7109375" style="754" customWidth="1"/>
    <col min="6141" max="6142" width="10" style="754" customWidth="1"/>
    <col min="6143" max="6143" width="9.85546875" style="754" customWidth="1"/>
    <col min="6144" max="6144" width="12.42578125" style="754" customWidth="1"/>
    <col min="6145" max="6150" width="12.7109375" style="754" customWidth="1"/>
    <col min="6151" max="6151" width="13" style="754" customWidth="1"/>
    <col min="6152" max="6153" width="12.7109375" style="754" customWidth="1"/>
    <col min="6154" max="6154" width="9.140625" style="754"/>
    <col min="6155" max="6155" width="11.140625" style="754" bestFit="1" customWidth="1"/>
    <col min="6156" max="6394" width="9.140625" style="754"/>
    <col min="6395" max="6395" width="4" style="754" customWidth="1"/>
    <col min="6396" max="6396" width="30.7109375" style="754" customWidth="1"/>
    <col min="6397" max="6398" width="10" style="754" customWidth="1"/>
    <col min="6399" max="6399" width="9.85546875" style="754" customWidth="1"/>
    <col min="6400" max="6400" width="12.42578125" style="754" customWidth="1"/>
    <col min="6401" max="6406" width="12.7109375" style="754" customWidth="1"/>
    <col min="6407" max="6407" width="13" style="754" customWidth="1"/>
    <col min="6408" max="6409" width="12.7109375" style="754" customWidth="1"/>
    <col min="6410" max="6410" width="9.140625" style="754"/>
    <col min="6411" max="6411" width="11.140625" style="754" bestFit="1" customWidth="1"/>
    <col min="6412" max="6650" width="9.140625" style="754"/>
    <col min="6651" max="6651" width="4" style="754" customWidth="1"/>
    <col min="6652" max="6652" width="30.7109375" style="754" customWidth="1"/>
    <col min="6653" max="6654" width="10" style="754" customWidth="1"/>
    <col min="6655" max="6655" width="9.85546875" style="754" customWidth="1"/>
    <col min="6656" max="6656" width="12.42578125" style="754" customWidth="1"/>
    <col min="6657" max="6662" width="12.7109375" style="754" customWidth="1"/>
    <col min="6663" max="6663" width="13" style="754" customWidth="1"/>
    <col min="6664" max="6665" width="12.7109375" style="754" customWidth="1"/>
    <col min="6666" max="6666" width="9.140625" style="754"/>
    <col min="6667" max="6667" width="11.140625" style="754" bestFit="1" customWidth="1"/>
    <col min="6668" max="6906" width="9.140625" style="754"/>
    <col min="6907" max="6907" width="4" style="754" customWidth="1"/>
    <col min="6908" max="6908" width="30.7109375" style="754" customWidth="1"/>
    <col min="6909" max="6910" width="10" style="754" customWidth="1"/>
    <col min="6911" max="6911" width="9.85546875" style="754" customWidth="1"/>
    <col min="6912" max="6912" width="12.42578125" style="754" customWidth="1"/>
    <col min="6913" max="6918" width="12.7109375" style="754" customWidth="1"/>
    <col min="6919" max="6919" width="13" style="754" customWidth="1"/>
    <col min="6920" max="6921" width="12.7109375" style="754" customWidth="1"/>
    <col min="6922" max="6922" width="9.140625" style="754"/>
    <col min="6923" max="6923" width="11.140625" style="754" bestFit="1" customWidth="1"/>
    <col min="6924" max="7162" width="9.140625" style="754"/>
    <col min="7163" max="7163" width="4" style="754" customWidth="1"/>
    <col min="7164" max="7164" width="30.7109375" style="754" customWidth="1"/>
    <col min="7165" max="7166" width="10" style="754" customWidth="1"/>
    <col min="7167" max="7167" width="9.85546875" style="754" customWidth="1"/>
    <col min="7168" max="7168" width="12.42578125" style="754" customWidth="1"/>
    <col min="7169" max="7174" width="12.7109375" style="754" customWidth="1"/>
    <col min="7175" max="7175" width="13" style="754" customWidth="1"/>
    <col min="7176" max="7177" width="12.7109375" style="754" customWidth="1"/>
    <col min="7178" max="7178" width="9.140625" style="754"/>
    <col min="7179" max="7179" width="11.140625" style="754" bestFit="1" customWidth="1"/>
    <col min="7180" max="7418" width="9.140625" style="754"/>
    <col min="7419" max="7419" width="4" style="754" customWidth="1"/>
    <col min="7420" max="7420" width="30.7109375" style="754" customWidth="1"/>
    <col min="7421" max="7422" width="10" style="754" customWidth="1"/>
    <col min="7423" max="7423" width="9.85546875" style="754" customWidth="1"/>
    <col min="7424" max="7424" width="12.42578125" style="754" customWidth="1"/>
    <col min="7425" max="7430" width="12.7109375" style="754" customWidth="1"/>
    <col min="7431" max="7431" width="13" style="754" customWidth="1"/>
    <col min="7432" max="7433" width="12.7109375" style="754" customWidth="1"/>
    <col min="7434" max="7434" width="9.140625" style="754"/>
    <col min="7435" max="7435" width="11.140625" style="754" bestFit="1" customWidth="1"/>
    <col min="7436" max="7674" width="9.140625" style="754"/>
    <col min="7675" max="7675" width="4" style="754" customWidth="1"/>
    <col min="7676" max="7676" width="30.7109375" style="754" customWidth="1"/>
    <col min="7677" max="7678" width="10" style="754" customWidth="1"/>
    <col min="7679" max="7679" width="9.85546875" style="754" customWidth="1"/>
    <col min="7680" max="7680" width="12.42578125" style="754" customWidth="1"/>
    <col min="7681" max="7686" width="12.7109375" style="754" customWidth="1"/>
    <col min="7687" max="7687" width="13" style="754" customWidth="1"/>
    <col min="7688" max="7689" width="12.7109375" style="754" customWidth="1"/>
    <col min="7690" max="7690" width="9.140625" style="754"/>
    <col min="7691" max="7691" width="11.140625" style="754" bestFit="1" customWidth="1"/>
    <col min="7692" max="7930" width="9.140625" style="754"/>
    <col min="7931" max="7931" width="4" style="754" customWidth="1"/>
    <col min="7932" max="7932" width="30.7109375" style="754" customWidth="1"/>
    <col min="7933" max="7934" width="10" style="754" customWidth="1"/>
    <col min="7935" max="7935" width="9.85546875" style="754" customWidth="1"/>
    <col min="7936" max="7936" width="12.42578125" style="754" customWidth="1"/>
    <col min="7937" max="7942" width="12.7109375" style="754" customWidth="1"/>
    <col min="7943" max="7943" width="13" style="754" customWidth="1"/>
    <col min="7944" max="7945" width="12.7109375" style="754" customWidth="1"/>
    <col min="7946" max="7946" width="9.140625" style="754"/>
    <col min="7947" max="7947" width="11.140625" style="754" bestFit="1" customWidth="1"/>
    <col min="7948" max="8186" width="9.140625" style="754"/>
    <col min="8187" max="8187" width="4" style="754" customWidth="1"/>
    <col min="8188" max="8188" width="30.7109375" style="754" customWidth="1"/>
    <col min="8189" max="8190" width="10" style="754" customWidth="1"/>
    <col min="8191" max="8191" width="9.85546875" style="754" customWidth="1"/>
    <col min="8192" max="8192" width="12.42578125" style="754" customWidth="1"/>
    <col min="8193" max="8198" width="12.7109375" style="754" customWidth="1"/>
    <col min="8199" max="8199" width="13" style="754" customWidth="1"/>
    <col min="8200" max="8201" width="12.7109375" style="754" customWidth="1"/>
    <col min="8202" max="8202" width="9.140625" style="754"/>
    <col min="8203" max="8203" width="11.140625" style="754" bestFit="1" customWidth="1"/>
    <col min="8204" max="8442" width="9.140625" style="754"/>
    <col min="8443" max="8443" width="4" style="754" customWidth="1"/>
    <col min="8444" max="8444" width="30.7109375" style="754" customWidth="1"/>
    <col min="8445" max="8446" width="10" style="754" customWidth="1"/>
    <col min="8447" max="8447" width="9.85546875" style="754" customWidth="1"/>
    <col min="8448" max="8448" width="12.42578125" style="754" customWidth="1"/>
    <col min="8449" max="8454" width="12.7109375" style="754" customWidth="1"/>
    <col min="8455" max="8455" width="13" style="754" customWidth="1"/>
    <col min="8456" max="8457" width="12.7109375" style="754" customWidth="1"/>
    <col min="8458" max="8458" width="9.140625" style="754"/>
    <col min="8459" max="8459" width="11.140625" style="754" bestFit="1" customWidth="1"/>
    <col min="8460" max="8698" width="9.140625" style="754"/>
    <col min="8699" max="8699" width="4" style="754" customWidth="1"/>
    <col min="8700" max="8700" width="30.7109375" style="754" customWidth="1"/>
    <col min="8701" max="8702" width="10" style="754" customWidth="1"/>
    <col min="8703" max="8703" width="9.85546875" style="754" customWidth="1"/>
    <col min="8704" max="8704" width="12.42578125" style="754" customWidth="1"/>
    <col min="8705" max="8710" width="12.7109375" style="754" customWidth="1"/>
    <col min="8711" max="8711" width="13" style="754" customWidth="1"/>
    <col min="8712" max="8713" width="12.7109375" style="754" customWidth="1"/>
    <col min="8714" max="8714" width="9.140625" style="754"/>
    <col min="8715" max="8715" width="11.140625" style="754" bestFit="1" customWidth="1"/>
    <col min="8716" max="8954" width="9.140625" style="754"/>
    <col min="8955" max="8955" width="4" style="754" customWidth="1"/>
    <col min="8956" max="8956" width="30.7109375" style="754" customWidth="1"/>
    <col min="8957" max="8958" width="10" style="754" customWidth="1"/>
    <col min="8959" max="8959" width="9.85546875" style="754" customWidth="1"/>
    <col min="8960" max="8960" width="12.42578125" style="754" customWidth="1"/>
    <col min="8961" max="8966" width="12.7109375" style="754" customWidth="1"/>
    <col min="8967" max="8967" width="13" style="754" customWidth="1"/>
    <col min="8968" max="8969" width="12.7109375" style="754" customWidth="1"/>
    <col min="8970" max="8970" width="9.140625" style="754"/>
    <col min="8971" max="8971" width="11.140625" style="754" bestFit="1" customWidth="1"/>
    <col min="8972" max="9210" width="9.140625" style="754"/>
    <col min="9211" max="9211" width="4" style="754" customWidth="1"/>
    <col min="9212" max="9212" width="30.7109375" style="754" customWidth="1"/>
    <col min="9213" max="9214" width="10" style="754" customWidth="1"/>
    <col min="9215" max="9215" width="9.85546875" style="754" customWidth="1"/>
    <col min="9216" max="9216" width="12.42578125" style="754" customWidth="1"/>
    <col min="9217" max="9222" width="12.7109375" style="754" customWidth="1"/>
    <col min="9223" max="9223" width="13" style="754" customWidth="1"/>
    <col min="9224" max="9225" width="12.7109375" style="754" customWidth="1"/>
    <col min="9226" max="9226" width="9.140625" style="754"/>
    <col min="9227" max="9227" width="11.140625" style="754" bestFit="1" customWidth="1"/>
    <col min="9228" max="9466" width="9.140625" style="754"/>
    <col min="9467" max="9467" width="4" style="754" customWidth="1"/>
    <col min="9468" max="9468" width="30.7109375" style="754" customWidth="1"/>
    <col min="9469" max="9470" width="10" style="754" customWidth="1"/>
    <col min="9471" max="9471" width="9.85546875" style="754" customWidth="1"/>
    <col min="9472" max="9472" width="12.42578125" style="754" customWidth="1"/>
    <col min="9473" max="9478" width="12.7109375" style="754" customWidth="1"/>
    <col min="9479" max="9479" width="13" style="754" customWidth="1"/>
    <col min="9480" max="9481" width="12.7109375" style="754" customWidth="1"/>
    <col min="9482" max="9482" width="9.140625" style="754"/>
    <col min="9483" max="9483" width="11.140625" style="754" bestFit="1" customWidth="1"/>
    <col min="9484" max="9722" width="9.140625" style="754"/>
    <col min="9723" max="9723" width="4" style="754" customWidth="1"/>
    <col min="9724" max="9724" width="30.7109375" style="754" customWidth="1"/>
    <col min="9725" max="9726" width="10" style="754" customWidth="1"/>
    <col min="9727" max="9727" width="9.85546875" style="754" customWidth="1"/>
    <col min="9728" max="9728" width="12.42578125" style="754" customWidth="1"/>
    <col min="9729" max="9734" width="12.7109375" style="754" customWidth="1"/>
    <col min="9735" max="9735" width="13" style="754" customWidth="1"/>
    <col min="9736" max="9737" width="12.7109375" style="754" customWidth="1"/>
    <col min="9738" max="9738" width="9.140625" style="754"/>
    <col min="9739" max="9739" width="11.140625" style="754" bestFit="1" customWidth="1"/>
    <col min="9740" max="9978" width="9.140625" style="754"/>
    <col min="9979" max="9979" width="4" style="754" customWidth="1"/>
    <col min="9980" max="9980" width="30.7109375" style="754" customWidth="1"/>
    <col min="9981" max="9982" width="10" style="754" customWidth="1"/>
    <col min="9983" max="9983" width="9.85546875" style="754" customWidth="1"/>
    <col min="9984" max="9984" width="12.42578125" style="754" customWidth="1"/>
    <col min="9985" max="9990" width="12.7109375" style="754" customWidth="1"/>
    <col min="9991" max="9991" width="13" style="754" customWidth="1"/>
    <col min="9992" max="9993" width="12.7109375" style="754" customWidth="1"/>
    <col min="9994" max="9994" width="9.140625" style="754"/>
    <col min="9995" max="9995" width="11.140625" style="754" bestFit="1" customWidth="1"/>
    <col min="9996" max="10234" width="9.140625" style="754"/>
    <col min="10235" max="10235" width="4" style="754" customWidth="1"/>
    <col min="10236" max="10236" width="30.7109375" style="754" customWidth="1"/>
    <col min="10237" max="10238" width="10" style="754" customWidth="1"/>
    <col min="10239" max="10239" width="9.85546875" style="754" customWidth="1"/>
    <col min="10240" max="10240" width="12.42578125" style="754" customWidth="1"/>
    <col min="10241" max="10246" width="12.7109375" style="754" customWidth="1"/>
    <col min="10247" max="10247" width="13" style="754" customWidth="1"/>
    <col min="10248" max="10249" width="12.7109375" style="754" customWidth="1"/>
    <col min="10250" max="10250" width="9.140625" style="754"/>
    <col min="10251" max="10251" width="11.140625" style="754" bestFit="1" customWidth="1"/>
    <col min="10252" max="10490" width="9.140625" style="754"/>
    <col min="10491" max="10491" width="4" style="754" customWidth="1"/>
    <col min="10492" max="10492" width="30.7109375" style="754" customWidth="1"/>
    <col min="10493" max="10494" width="10" style="754" customWidth="1"/>
    <col min="10495" max="10495" width="9.85546875" style="754" customWidth="1"/>
    <col min="10496" max="10496" width="12.42578125" style="754" customWidth="1"/>
    <col min="10497" max="10502" width="12.7109375" style="754" customWidth="1"/>
    <col min="10503" max="10503" width="13" style="754" customWidth="1"/>
    <col min="10504" max="10505" width="12.7109375" style="754" customWidth="1"/>
    <col min="10506" max="10506" width="9.140625" style="754"/>
    <col min="10507" max="10507" width="11.140625" style="754" bestFit="1" customWidth="1"/>
    <col min="10508" max="10746" width="9.140625" style="754"/>
    <col min="10747" max="10747" width="4" style="754" customWidth="1"/>
    <col min="10748" max="10748" width="30.7109375" style="754" customWidth="1"/>
    <col min="10749" max="10750" width="10" style="754" customWidth="1"/>
    <col min="10751" max="10751" width="9.85546875" style="754" customWidth="1"/>
    <col min="10752" max="10752" width="12.42578125" style="754" customWidth="1"/>
    <col min="10753" max="10758" width="12.7109375" style="754" customWidth="1"/>
    <col min="10759" max="10759" width="13" style="754" customWidth="1"/>
    <col min="10760" max="10761" width="12.7109375" style="754" customWidth="1"/>
    <col min="10762" max="10762" width="9.140625" style="754"/>
    <col min="10763" max="10763" width="11.140625" style="754" bestFit="1" customWidth="1"/>
    <col min="10764" max="11002" width="9.140625" style="754"/>
    <col min="11003" max="11003" width="4" style="754" customWidth="1"/>
    <col min="11004" max="11004" width="30.7109375" style="754" customWidth="1"/>
    <col min="11005" max="11006" width="10" style="754" customWidth="1"/>
    <col min="11007" max="11007" width="9.85546875" style="754" customWidth="1"/>
    <col min="11008" max="11008" width="12.42578125" style="754" customWidth="1"/>
    <col min="11009" max="11014" width="12.7109375" style="754" customWidth="1"/>
    <col min="11015" max="11015" width="13" style="754" customWidth="1"/>
    <col min="11016" max="11017" width="12.7109375" style="754" customWidth="1"/>
    <col min="11018" max="11018" width="9.140625" style="754"/>
    <col min="11019" max="11019" width="11.140625" style="754" bestFit="1" customWidth="1"/>
    <col min="11020" max="11258" width="9.140625" style="754"/>
    <col min="11259" max="11259" width="4" style="754" customWidth="1"/>
    <col min="11260" max="11260" width="30.7109375" style="754" customWidth="1"/>
    <col min="11261" max="11262" width="10" style="754" customWidth="1"/>
    <col min="11263" max="11263" width="9.85546875" style="754" customWidth="1"/>
    <col min="11264" max="11264" width="12.42578125" style="754" customWidth="1"/>
    <col min="11265" max="11270" width="12.7109375" style="754" customWidth="1"/>
    <col min="11271" max="11271" width="13" style="754" customWidth="1"/>
    <col min="11272" max="11273" width="12.7109375" style="754" customWidth="1"/>
    <col min="11274" max="11274" width="9.140625" style="754"/>
    <col min="11275" max="11275" width="11.140625" style="754" bestFit="1" customWidth="1"/>
    <col min="11276" max="11514" width="9.140625" style="754"/>
    <col min="11515" max="11515" width="4" style="754" customWidth="1"/>
    <col min="11516" max="11516" width="30.7109375" style="754" customWidth="1"/>
    <col min="11517" max="11518" width="10" style="754" customWidth="1"/>
    <col min="11519" max="11519" width="9.85546875" style="754" customWidth="1"/>
    <col min="11520" max="11520" width="12.42578125" style="754" customWidth="1"/>
    <col min="11521" max="11526" width="12.7109375" style="754" customWidth="1"/>
    <col min="11527" max="11527" width="13" style="754" customWidth="1"/>
    <col min="11528" max="11529" width="12.7109375" style="754" customWidth="1"/>
    <col min="11530" max="11530" width="9.140625" style="754"/>
    <col min="11531" max="11531" width="11.140625" style="754" bestFit="1" customWidth="1"/>
    <col min="11532" max="11770" width="9.140625" style="754"/>
    <col min="11771" max="11771" width="4" style="754" customWidth="1"/>
    <col min="11772" max="11772" width="30.7109375" style="754" customWidth="1"/>
    <col min="11773" max="11774" width="10" style="754" customWidth="1"/>
    <col min="11775" max="11775" width="9.85546875" style="754" customWidth="1"/>
    <col min="11776" max="11776" width="12.42578125" style="754" customWidth="1"/>
    <col min="11777" max="11782" width="12.7109375" style="754" customWidth="1"/>
    <col min="11783" max="11783" width="13" style="754" customWidth="1"/>
    <col min="11784" max="11785" width="12.7109375" style="754" customWidth="1"/>
    <col min="11786" max="11786" width="9.140625" style="754"/>
    <col min="11787" max="11787" width="11.140625" style="754" bestFit="1" customWidth="1"/>
    <col min="11788" max="12026" width="9.140625" style="754"/>
    <col min="12027" max="12027" width="4" style="754" customWidth="1"/>
    <col min="12028" max="12028" width="30.7109375" style="754" customWidth="1"/>
    <col min="12029" max="12030" width="10" style="754" customWidth="1"/>
    <col min="12031" max="12031" width="9.85546875" style="754" customWidth="1"/>
    <col min="12032" max="12032" width="12.42578125" style="754" customWidth="1"/>
    <col min="12033" max="12038" width="12.7109375" style="754" customWidth="1"/>
    <col min="12039" max="12039" width="13" style="754" customWidth="1"/>
    <col min="12040" max="12041" width="12.7109375" style="754" customWidth="1"/>
    <col min="12042" max="12042" width="9.140625" style="754"/>
    <col min="12043" max="12043" width="11.140625" style="754" bestFit="1" customWidth="1"/>
    <col min="12044" max="12282" width="9.140625" style="754"/>
    <col min="12283" max="12283" width="4" style="754" customWidth="1"/>
    <col min="12284" max="12284" width="30.7109375" style="754" customWidth="1"/>
    <col min="12285" max="12286" width="10" style="754" customWidth="1"/>
    <col min="12287" max="12287" width="9.85546875" style="754" customWidth="1"/>
    <col min="12288" max="12288" width="12.42578125" style="754" customWidth="1"/>
    <col min="12289" max="12294" width="12.7109375" style="754" customWidth="1"/>
    <col min="12295" max="12295" width="13" style="754" customWidth="1"/>
    <col min="12296" max="12297" width="12.7109375" style="754" customWidth="1"/>
    <col min="12298" max="12298" width="9.140625" style="754"/>
    <col min="12299" max="12299" width="11.140625" style="754" bestFit="1" customWidth="1"/>
    <col min="12300" max="12538" width="9.140625" style="754"/>
    <col min="12539" max="12539" width="4" style="754" customWidth="1"/>
    <col min="12540" max="12540" width="30.7109375" style="754" customWidth="1"/>
    <col min="12541" max="12542" width="10" style="754" customWidth="1"/>
    <col min="12543" max="12543" width="9.85546875" style="754" customWidth="1"/>
    <col min="12544" max="12544" width="12.42578125" style="754" customWidth="1"/>
    <col min="12545" max="12550" width="12.7109375" style="754" customWidth="1"/>
    <col min="12551" max="12551" width="13" style="754" customWidth="1"/>
    <col min="12552" max="12553" width="12.7109375" style="754" customWidth="1"/>
    <col min="12554" max="12554" width="9.140625" style="754"/>
    <col min="12555" max="12555" width="11.140625" style="754" bestFit="1" customWidth="1"/>
    <col min="12556" max="12794" width="9.140625" style="754"/>
    <col min="12795" max="12795" width="4" style="754" customWidth="1"/>
    <col min="12796" max="12796" width="30.7109375" style="754" customWidth="1"/>
    <col min="12797" max="12798" width="10" style="754" customWidth="1"/>
    <col min="12799" max="12799" width="9.85546875" style="754" customWidth="1"/>
    <col min="12800" max="12800" width="12.42578125" style="754" customWidth="1"/>
    <col min="12801" max="12806" width="12.7109375" style="754" customWidth="1"/>
    <col min="12807" max="12807" width="13" style="754" customWidth="1"/>
    <col min="12808" max="12809" width="12.7109375" style="754" customWidth="1"/>
    <col min="12810" max="12810" width="9.140625" style="754"/>
    <col min="12811" max="12811" width="11.140625" style="754" bestFit="1" customWidth="1"/>
    <col min="12812" max="13050" width="9.140625" style="754"/>
    <col min="13051" max="13051" width="4" style="754" customWidth="1"/>
    <col min="13052" max="13052" width="30.7109375" style="754" customWidth="1"/>
    <col min="13053" max="13054" width="10" style="754" customWidth="1"/>
    <col min="13055" max="13055" width="9.85546875" style="754" customWidth="1"/>
    <col min="13056" max="13056" width="12.42578125" style="754" customWidth="1"/>
    <col min="13057" max="13062" width="12.7109375" style="754" customWidth="1"/>
    <col min="13063" max="13063" width="13" style="754" customWidth="1"/>
    <col min="13064" max="13065" width="12.7109375" style="754" customWidth="1"/>
    <col min="13066" max="13066" width="9.140625" style="754"/>
    <col min="13067" max="13067" width="11.140625" style="754" bestFit="1" customWidth="1"/>
    <col min="13068" max="13306" width="9.140625" style="754"/>
    <col min="13307" max="13307" width="4" style="754" customWidth="1"/>
    <col min="13308" max="13308" width="30.7109375" style="754" customWidth="1"/>
    <col min="13309" max="13310" width="10" style="754" customWidth="1"/>
    <col min="13311" max="13311" width="9.85546875" style="754" customWidth="1"/>
    <col min="13312" max="13312" width="12.42578125" style="754" customWidth="1"/>
    <col min="13313" max="13318" width="12.7109375" style="754" customWidth="1"/>
    <col min="13319" max="13319" width="13" style="754" customWidth="1"/>
    <col min="13320" max="13321" width="12.7109375" style="754" customWidth="1"/>
    <col min="13322" max="13322" width="9.140625" style="754"/>
    <col min="13323" max="13323" width="11.140625" style="754" bestFit="1" customWidth="1"/>
    <col min="13324" max="13562" width="9.140625" style="754"/>
    <col min="13563" max="13563" width="4" style="754" customWidth="1"/>
    <col min="13564" max="13564" width="30.7109375" style="754" customWidth="1"/>
    <col min="13565" max="13566" width="10" style="754" customWidth="1"/>
    <col min="13567" max="13567" width="9.85546875" style="754" customWidth="1"/>
    <col min="13568" max="13568" width="12.42578125" style="754" customWidth="1"/>
    <col min="13569" max="13574" width="12.7109375" style="754" customWidth="1"/>
    <col min="13575" max="13575" width="13" style="754" customWidth="1"/>
    <col min="13576" max="13577" width="12.7109375" style="754" customWidth="1"/>
    <col min="13578" max="13578" width="9.140625" style="754"/>
    <col min="13579" max="13579" width="11.140625" style="754" bestFit="1" customWidth="1"/>
    <col min="13580" max="13818" width="9.140625" style="754"/>
    <col min="13819" max="13819" width="4" style="754" customWidth="1"/>
    <col min="13820" max="13820" width="30.7109375" style="754" customWidth="1"/>
    <col min="13821" max="13822" width="10" style="754" customWidth="1"/>
    <col min="13823" max="13823" width="9.85546875" style="754" customWidth="1"/>
    <col min="13824" max="13824" width="12.42578125" style="754" customWidth="1"/>
    <col min="13825" max="13830" width="12.7109375" style="754" customWidth="1"/>
    <col min="13831" max="13831" width="13" style="754" customWidth="1"/>
    <col min="13832" max="13833" width="12.7109375" style="754" customWidth="1"/>
    <col min="13834" max="13834" width="9.140625" style="754"/>
    <col min="13835" max="13835" width="11.140625" style="754" bestFit="1" customWidth="1"/>
    <col min="13836" max="14074" width="9.140625" style="754"/>
    <col min="14075" max="14075" width="4" style="754" customWidth="1"/>
    <col min="14076" max="14076" width="30.7109375" style="754" customWidth="1"/>
    <col min="14077" max="14078" width="10" style="754" customWidth="1"/>
    <col min="14079" max="14079" width="9.85546875" style="754" customWidth="1"/>
    <col min="14080" max="14080" width="12.42578125" style="754" customWidth="1"/>
    <col min="14081" max="14086" width="12.7109375" style="754" customWidth="1"/>
    <col min="14087" max="14087" width="13" style="754" customWidth="1"/>
    <col min="14088" max="14089" width="12.7109375" style="754" customWidth="1"/>
    <col min="14090" max="14090" width="9.140625" style="754"/>
    <col min="14091" max="14091" width="11.140625" style="754" bestFit="1" customWidth="1"/>
    <col min="14092" max="14330" width="9.140625" style="754"/>
    <col min="14331" max="14331" width="4" style="754" customWidth="1"/>
    <col min="14332" max="14332" width="30.7109375" style="754" customWidth="1"/>
    <col min="14333" max="14334" width="10" style="754" customWidth="1"/>
    <col min="14335" max="14335" width="9.85546875" style="754" customWidth="1"/>
    <col min="14336" max="14336" width="12.42578125" style="754" customWidth="1"/>
    <col min="14337" max="14342" width="12.7109375" style="754" customWidth="1"/>
    <col min="14343" max="14343" width="13" style="754" customWidth="1"/>
    <col min="14344" max="14345" width="12.7109375" style="754" customWidth="1"/>
    <col min="14346" max="14346" width="9.140625" style="754"/>
    <col min="14347" max="14347" width="11.140625" style="754" bestFit="1" customWidth="1"/>
    <col min="14348" max="14586" width="9.140625" style="754"/>
    <col min="14587" max="14587" width="4" style="754" customWidth="1"/>
    <col min="14588" max="14588" width="30.7109375" style="754" customWidth="1"/>
    <col min="14589" max="14590" width="10" style="754" customWidth="1"/>
    <col min="14591" max="14591" width="9.85546875" style="754" customWidth="1"/>
    <col min="14592" max="14592" width="12.42578125" style="754" customWidth="1"/>
    <col min="14593" max="14598" width="12.7109375" style="754" customWidth="1"/>
    <col min="14599" max="14599" width="13" style="754" customWidth="1"/>
    <col min="14600" max="14601" width="12.7109375" style="754" customWidth="1"/>
    <col min="14602" max="14602" width="9.140625" style="754"/>
    <col min="14603" max="14603" width="11.140625" style="754" bestFit="1" customWidth="1"/>
    <col min="14604" max="14842" width="9.140625" style="754"/>
    <col min="14843" max="14843" width="4" style="754" customWidth="1"/>
    <col min="14844" max="14844" width="30.7109375" style="754" customWidth="1"/>
    <col min="14845" max="14846" width="10" style="754" customWidth="1"/>
    <col min="14847" max="14847" width="9.85546875" style="754" customWidth="1"/>
    <col min="14848" max="14848" width="12.42578125" style="754" customWidth="1"/>
    <col min="14849" max="14854" width="12.7109375" style="754" customWidth="1"/>
    <col min="14855" max="14855" width="13" style="754" customWidth="1"/>
    <col min="14856" max="14857" width="12.7109375" style="754" customWidth="1"/>
    <col min="14858" max="14858" width="9.140625" style="754"/>
    <col min="14859" max="14859" width="11.140625" style="754" bestFit="1" customWidth="1"/>
    <col min="14860" max="15098" width="9.140625" style="754"/>
    <col min="15099" max="15099" width="4" style="754" customWidth="1"/>
    <col min="15100" max="15100" width="30.7109375" style="754" customWidth="1"/>
    <col min="15101" max="15102" width="10" style="754" customWidth="1"/>
    <col min="15103" max="15103" width="9.85546875" style="754" customWidth="1"/>
    <col min="15104" max="15104" width="12.42578125" style="754" customWidth="1"/>
    <col min="15105" max="15110" width="12.7109375" style="754" customWidth="1"/>
    <col min="15111" max="15111" width="13" style="754" customWidth="1"/>
    <col min="15112" max="15113" width="12.7109375" style="754" customWidth="1"/>
    <col min="15114" max="15114" width="9.140625" style="754"/>
    <col min="15115" max="15115" width="11.140625" style="754" bestFit="1" customWidth="1"/>
    <col min="15116" max="15354" width="9.140625" style="754"/>
    <col min="15355" max="15355" width="4" style="754" customWidth="1"/>
    <col min="15356" max="15356" width="30.7109375" style="754" customWidth="1"/>
    <col min="15357" max="15358" width="10" style="754" customWidth="1"/>
    <col min="15359" max="15359" width="9.85546875" style="754" customWidth="1"/>
    <col min="15360" max="15360" width="12.42578125" style="754" customWidth="1"/>
    <col min="15361" max="15366" width="12.7109375" style="754" customWidth="1"/>
    <col min="15367" max="15367" width="13" style="754" customWidth="1"/>
    <col min="15368" max="15369" width="12.7109375" style="754" customWidth="1"/>
    <col min="15370" max="15370" width="9.140625" style="754"/>
    <col min="15371" max="15371" width="11.140625" style="754" bestFit="1" customWidth="1"/>
    <col min="15372" max="15610" width="9.140625" style="754"/>
    <col min="15611" max="15611" width="4" style="754" customWidth="1"/>
    <col min="15612" max="15612" width="30.7109375" style="754" customWidth="1"/>
    <col min="15613" max="15614" width="10" style="754" customWidth="1"/>
    <col min="15615" max="15615" width="9.85546875" style="754" customWidth="1"/>
    <col min="15616" max="15616" width="12.42578125" style="754" customWidth="1"/>
    <col min="15617" max="15622" width="12.7109375" style="754" customWidth="1"/>
    <col min="15623" max="15623" width="13" style="754" customWidth="1"/>
    <col min="15624" max="15625" width="12.7109375" style="754" customWidth="1"/>
    <col min="15626" max="15626" width="9.140625" style="754"/>
    <col min="15627" max="15627" width="11.140625" style="754" bestFit="1" customWidth="1"/>
    <col min="15628" max="15866" width="9.140625" style="754"/>
    <col min="15867" max="15867" width="4" style="754" customWidth="1"/>
    <col min="15868" max="15868" width="30.7109375" style="754" customWidth="1"/>
    <col min="15869" max="15870" width="10" style="754" customWidth="1"/>
    <col min="15871" max="15871" width="9.85546875" style="754" customWidth="1"/>
    <col min="15872" max="15872" width="12.42578125" style="754" customWidth="1"/>
    <col min="15873" max="15878" width="12.7109375" style="754" customWidth="1"/>
    <col min="15879" max="15879" width="13" style="754" customWidth="1"/>
    <col min="15880" max="15881" width="12.7109375" style="754" customWidth="1"/>
    <col min="15882" max="15882" width="9.140625" style="754"/>
    <col min="15883" max="15883" width="11.140625" style="754" bestFit="1" customWidth="1"/>
    <col min="15884" max="16122" width="9.140625" style="754"/>
    <col min="16123" max="16123" width="4" style="754" customWidth="1"/>
    <col min="16124" max="16124" width="30.7109375" style="754" customWidth="1"/>
    <col min="16125" max="16126" width="10" style="754" customWidth="1"/>
    <col min="16127" max="16127" width="9.85546875" style="754" customWidth="1"/>
    <col min="16128" max="16128" width="12.42578125" style="754" customWidth="1"/>
    <col min="16129" max="16134" width="12.7109375" style="754" customWidth="1"/>
    <col min="16135" max="16135" width="13" style="754" customWidth="1"/>
    <col min="16136" max="16137" width="12.7109375" style="754" customWidth="1"/>
    <col min="16138" max="16138" width="9.140625" style="754"/>
    <col min="16139" max="16139" width="11.140625" style="754" bestFit="1" customWidth="1"/>
    <col min="16140" max="16384" width="9.140625" style="754"/>
  </cols>
  <sheetData>
    <row r="1" spans="1:16" s="750" customFormat="1" ht="13.5" thickBot="1">
      <c r="A1" s="750" t="s">
        <v>15</v>
      </c>
      <c r="B1" s="751"/>
    </row>
    <row r="2" spans="1:16" ht="23.25" thickBot="1">
      <c r="A2" s="1924" t="s">
        <v>16</v>
      </c>
      <c r="B2" s="1925"/>
      <c r="C2" s="1925"/>
      <c r="D2" s="1925"/>
      <c r="E2" s="1925"/>
      <c r="F2" s="1925"/>
      <c r="G2" s="1925"/>
      <c r="H2" s="1925"/>
      <c r="I2" s="1925"/>
      <c r="J2" s="752"/>
      <c r="K2" s="753"/>
    </row>
    <row r="3" spans="1:16" ht="16.5" thickBot="1">
      <c r="A3" s="1926" t="s">
        <v>17</v>
      </c>
      <c r="B3" s="1927"/>
      <c r="C3" s="1927"/>
      <c r="D3" s="1927"/>
      <c r="E3" s="1927"/>
      <c r="F3" s="1927"/>
      <c r="G3" s="1927"/>
      <c r="H3" s="1927"/>
      <c r="I3" s="1927"/>
      <c r="J3" s="755"/>
      <c r="K3" s="756"/>
    </row>
    <row r="4" spans="1:16" ht="25.5">
      <c r="A4" s="757" t="s">
        <v>18</v>
      </c>
      <c r="B4" s="758"/>
      <c r="C4" s="759" t="s">
        <v>19</v>
      </c>
      <c r="D4" s="760"/>
      <c r="E4" s="1928" t="s">
        <v>20</v>
      </c>
      <c r="F4" s="761" t="s">
        <v>21</v>
      </c>
      <c r="G4" s="354"/>
      <c r="H4" s="763"/>
      <c r="I4" s="764"/>
      <c r="J4" s="763" t="s">
        <v>22</v>
      </c>
      <c r="K4" s="764" t="s">
        <v>23</v>
      </c>
    </row>
    <row r="5" spans="1:16" ht="26.25" thickBot="1">
      <c r="A5" s="765" t="s">
        <v>26</v>
      </c>
      <c r="B5" s="766"/>
      <c r="C5" s="767" t="s">
        <v>27</v>
      </c>
      <c r="D5" s="768"/>
      <c r="E5" s="1929"/>
      <c r="F5" s="769" t="s">
        <v>1404</v>
      </c>
      <c r="G5" s="354">
        <v>7000</v>
      </c>
      <c r="H5" s="770"/>
      <c r="I5" s="771"/>
      <c r="J5" s="770" t="s">
        <v>29</v>
      </c>
      <c r="K5" s="771"/>
      <c r="L5" s="771" t="s">
        <v>18</v>
      </c>
      <c r="M5" s="771" t="s">
        <v>31</v>
      </c>
    </row>
    <row r="6" spans="1:16" ht="13.5" thickBot="1">
      <c r="A6" s="772"/>
      <c r="B6" s="773"/>
      <c r="D6" s="774"/>
      <c r="E6" s="355"/>
      <c r="F6" s="775"/>
      <c r="G6" s="774"/>
      <c r="H6" s="775"/>
      <c r="I6" s="774"/>
      <c r="J6" s="775"/>
      <c r="K6" s="774"/>
    </row>
    <row r="7" spans="1:16" ht="31.5" customHeight="1" thickBot="1">
      <c r="A7" s="1930" t="s">
        <v>32</v>
      </c>
      <c r="B7" s="1932" t="s">
        <v>33</v>
      </c>
      <c r="C7" s="1932" t="s">
        <v>34</v>
      </c>
      <c r="D7" s="1937" t="s">
        <v>35</v>
      </c>
      <c r="E7" s="1836" t="s">
        <v>36</v>
      </c>
      <c r="F7" s="1939" t="s">
        <v>1281</v>
      </c>
      <c r="G7" s="1916"/>
      <c r="H7" s="1910" t="s">
        <v>1392</v>
      </c>
      <c r="I7" s="1911"/>
      <c r="J7" s="1910"/>
      <c r="K7" s="1911"/>
    </row>
    <row r="8" spans="1:16" ht="19.5" customHeight="1">
      <c r="A8" s="1931"/>
      <c r="B8" s="1933"/>
      <c r="C8" s="1935"/>
      <c r="D8" s="1938"/>
      <c r="E8" s="1837"/>
      <c r="F8" s="1912" t="s">
        <v>1393</v>
      </c>
      <c r="G8" s="1912"/>
      <c r="H8" s="1913" t="s">
        <v>1394</v>
      </c>
      <c r="I8" s="1914"/>
      <c r="J8" s="1913"/>
      <c r="K8" s="1914"/>
    </row>
    <row r="9" spans="1:16" ht="21.75" customHeight="1" thickBot="1">
      <c r="A9" s="1931"/>
      <c r="B9" s="1933"/>
      <c r="C9" s="1935"/>
      <c r="D9" s="1938"/>
      <c r="E9" s="1837"/>
      <c r="F9" s="1912"/>
      <c r="G9" s="1912"/>
      <c r="H9" s="1913"/>
      <c r="I9" s="1914"/>
      <c r="J9" s="1913"/>
      <c r="K9" s="1914"/>
      <c r="L9" s="776"/>
    </row>
    <row r="10" spans="1:16" ht="39" customHeight="1" thickBot="1">
      <c r="A10" s="1931"/>
      <c r="B10" s="1933"/>
      <c r="C10" s="1935"/>
      <c r="D10" s="1938"/>
      <c r="E10" s="1837"/>
      <c r="F10" s="1915" t="s">
        <v>1377</v>
      </c>
      <c r="G10" s="1916"/>
      <c r="H10" s="1917" t="s">
        <v>1395</v>
      </c>
      <c r="I10" s="1918"/>
      <c r="J10" s="1917"/>
      <c r="K10" s="1918"/>
    </row>
    <row r="11" spans="1:16" ht="13.5" thickBot="1">
      <c r="A11" s="1931"/>
      <c r="B11" s="1933"/>
      <c r="C11" s="1935"/>
      <c r="D11" s="1938"/>
      <c r="E11" s="1837"/>
      <c r="F11" s="1919" t="s">
        <v>46</v>
      </c>
      <c r="G11" s="1920"/>
      <c r="H11" s="1919" t="s">
        <v>46</v>
      </c>
      <c r="I11" s="1921"/>
      <c r="J11" s="1919" t="s">
        <v>46</v>
      </c>
      <c r="K11" s="1921"/>
      <c r="L11" s="776"/>
    </row>
    <row r="12" spans="1:16" ht="13.5" thickBot="1">
      <c r="A12" s="1931"/>
      <c r="B12" s="1934"/>
      <c r="C12" s="1936"/>
      <c r="D12" s="1938"/>
      <c r="E12" s="1837"/>
      <c r="F12" s="777" t="s">
        <v>47</v>
      </c>
      <c r="G12" s="778" t="s">
        <v>48</v>
      </c>
      <c r="H12" s="779" t="s">
        <v>47</v>
      </c>
      <c r="I12" s="780" t="s">
        <v>48</v>
      </c>
      <c r="J12" s="779" t="s">
        <v>47</v>
      </c>
      <c r="K12" s="780" t="s">
        <v>48</v>
      </c>
      <c r="N12" s="781"/>
      <c r="O12" s="781"/>
      <c r="P12" s="781"/>
    </row>
    <row r="13" spans="1:16" ht="15.75">
      <c r="A13" s="782">
        <v>1</v>
      </c>
      <c r="B13" s="874" t="s">
        <v>1396</v>
      </c>
      <c r="C13" s="790">
        <v>12402</v>
      </c>
      <c r="D13" s="785" t="s">
        <v>192</v>
      </c>
      <c r="E13" s="875">
        <v>2</v>
      </c>
      <c r="F13" s="790">
        <v>10250</v>
      </c>
      <c r="G13" s="876">
        <f>F13*0.925</f>
        <v>9481.25</v>
      </c>
      <c r="H13" s="784">
        <v>20890</v>
      </c>
      <c r="I13" s="784">
        <f>H13*0.85</f>
        <v>17756.5</v>
      </c>
      <c r="J13" s="787"/>
      <c r="K13" s="788"/>
      <c r="N13" s="781"/>
      <c r="O13" s="781"/>
      <c r="P13" s="781"/>
    </row>
    <row r="14" spans="1:16" ht="15.75">
      <c r="A14" s="789">
        <v>2</v>
      </c>
      <c r="B14" s="785" t="s">
        <v>1397</v>
      </c>
      <c r="C14" s="790">
        <v>6800</v>
      </c>
      <c r="D14" s="785" t="s">
        <v>192</v>
      </c>
      <c r="E14" s="875">
        <v>3</v>
      </c>
      <c r="F14" s="784">
        <v>7295</v>
      </c>
      <c r="G14" s="791">
        <f>F14*0.925</f>
        <v>6747.875</v>
      </c>
      <c r="H14" s="784">
        <v>15560</v>
      </c>
      <c r="I14" s="792">
        <f>H14*0.85</f>
        <v>13226</v>
      </c>
      <c r="J14" s="784"/>
      <c r="K14" s="792"/>
      <c r="L14" s="877">
        <v>1100022459</v>
      </c>
      <c r="M14" s="877">
        <v>50</v>
      </c>
      <c r="N14" s="781"/>
      <c r="O14" s="781"/>
      <c r="P14" s="781"/>
    </row>
    <row r="15" spans="1:16" ht="15.75">
      <c r="A15" s="782">
        <v>3</v>
      </c>
      <c r="B15" s="785" t="s">
        <v>884</v>
      </c>
      <c r="C15" s="790">
        <v>1290.3800000000001</v>
      </c>
      <c r="D15" s="785" t="s">
        <v>192</v>
      </c>
      <c r="E15" s="875">
        <v>2</v>
      </c>
      <c r="F15" s="784">
        <v>1290.3800000000001</v>
      </c>
      <c r="G15" s="791">
        <v>1290.3800000000001</v>
      </c>
      <c r="H15" s="784">
        <v>2168</v>
      </c>
      <c r="I15" s="792">
        <f>H15*0.9</f>
        <v>1951.2</v>
      </c>
      <c r="J15" s="784"/>
      <c r="K15" s="792"/>
      <c r="L15" s="877">
        <v>1100022459</v>
      </c>
      <c r="M15" s="877">
        <v>60</v>
      </c>
      <c r="N15" s="781"/>
      <c r="O15" s="781"/>
      <c r="P15" s="781"/>
    </row>
    <row r="16" spans="1:16" ht="15.75">
      <c r="A16" s="789">
        <v>4</v>
      </c>
      <c r="B16" s="785" t="s">
        <v>1398</v>
      </c>
      <c r="C16" s="794"/>
      <c r="D16" s="785" t="s">
        <v>192</v>
      </c>
      <c r="E16" s="875">
        <v>1</v>
      </c>
      <c r="F16" s="784">
        <v>6175</v>
      </c>
      <c r="G16" s="791">
        <f t="shared" ref="G16:G21" si="0">F16*0.925</f>
        <v>5711.875</v>
      </c>
      <c r="H16" s="784">
        <v>15753</v>
      </c>
      <c r="I16" s="792">
        <f>H16*0.9</f>
        <v>14177.7</v>
      </c>
      <c r="J16" s="784"/>
      <c r="K16" s="792"/>
      <c r="L16" s="877">
        <v>1100022459</v>
      </c>
      <c r="M16" s="877">
        <v>70</v>
      </c>
      <c r="N16" s="781"/>
      <c r="O16" s="781"/>
      <c r="P16" s="781"/>
    </row>
    <row r="17" spans="1:16" ht="15.75">
      <c r="A17" s="782">
        <v>5</v>
      </c>
      <c r="B17" s="785" t="s">
        <v>961</v>
      </c>
      <c r="C17" s="794"/>
      <c r="D17" s="785" t="s">
        <v>192</v>
      </c>
      <c r="E17" s="875">
        <v>2</v>
      </c>
      <c r="F17" s="784">
        <v>2560</v>
      </c>
      <c r="G17" s="791">
        <f t="shared" si="0"/>
        <v>2368</v>
      </c>
      <c r="H17" s="784">
        <v>4709</v>
      </c>
      <c r="I17" s="792">
        <f>H17*0.9</f>
        <v>4238.1000000000004</v>
      </c>
      <c r="J17" s="784"/>
      <c r="K17" s="792"/>
      <c r="L17" s="877">
        <v>1100022459</v>
      </c>
      <c r="M17" s="877">
        <v>80</v>
      </c>
      <c r="N17" s="781"/>
      <c r="O17" s="781"/>
      <c r="P17" s="781"/>
    </row>
    <row r="18" spans="1:16" ht="30">
      <c r="A18" s="789">
        <v>6</v>
      </c>
      <c r="B18" s="878" t="s">
        <v>1399</v>
      </c>
      <c r="C18" s="794"/>
      <c r="D18" s="785" t="s">
        <v>192</v>
      </c>
      <c r="E18" s="875">
        <v>2</v>
      </c>
      <c r="F18" s="784">
        <v>5450</v>
      </c>
      <c r="G18" s="791">
        <f t="shared" si="0"/>
        <v>5041.25</v>
      </c>
      <c r="H18" s="784">
        <v>5498</v>
      </c>
      <c r="I18" s="792">
        <f>H18</f>
        <v>5498</v>
      </c>
      <c r="J18" s="784"/>
      <c r="K18" s="792"/>
      <c r="L18" s="877">
        <v>1100022460</v>
      </c>
      <c r="M18" s="877">
        <v>60</v>
      </c>
      <c r="N18" s="781"/>
      <c r="O18" s="781"/>
      <c r="P18" s="781"/>
    </row>
    <row r="19" spans="1:16" ht="30">
      <c r="A19" s="782">
        <v>7</v>
      </c>
      <c r="B19" s="878" t="s">
        <v>1400</v>
      </c>
      <c r="C19" s="794"/>
      <c r="D19" s="785" t="s">
        <v>192</v>
      </c>
      <c r="E19" s="875">
        <v>1</v>
      </c>
      <c r="F19" s="784">
        <v>4430</v>
      </c>
      <c r="G19" s="791">
        <f t="shared" si="0"/>
        <v>4097.75</v>
      </c>
      <c r="H19" s="784">
        <v>3842</v>
      </c>
      <c r="I19" s="792">
        <v>3842</v>
      </c>
      <c r="J19" s="784"/>
      <c r="K19" s="792"/>
      <c r="L19" s="877">
        <v>1100022438</v>
      </c>
      <c r="M19" s="877">
        <v>90</v>
      </c>
      <c r="N19" s="781"/>
      <c r="O19" s="781"/>
      <c r="P19" s="781"/>
    </row>
    <row r="20" spans="1:16" ht="15.75">
      <c r="A20" s="789">
        <v>8</v>
      </c>
      <c r="B20" s="785" t="s">
        <v>1401</v>
      </c>
      <c r="C20" s="794"/>
      <c r="D20" s="785" t="s">
        <v>192</v>
      </c>
      <c r="E20" s="875">
        <v>2</v>
      </c>
      <c r="F20" s="784">
        <v>5450</v>
      </c>
      <c r="G20" s="791">
        <f t="shared" si="0"/>
        <v>5041.25</v>
      </c>
      <c r="H20" s="784">
        <v>4709</v>
      </c>
      <c r="I20" s="792">
        <f>H20</f>
        <v>4709</v>
      </c>
      <c r="J20" s="784"/>
      <c r="K20" s="792"/>
      <c r="L20" s="877">
        <v>1100022438</v>
      </c>
      <c r="M20" s="877">
        <v>100</v>
      </c>
      <c r="N20" s="781"/>
      <c r="O20" s="781"/>
      <c r="P20" s="781"/>
    </row>
    <row r="21" spans="1:16" ht="15.75">
      <c r="A21" s="782">
        <v>9</v>
      </c>
      <c r="B21" s="785" t="s">
        <v>1402</v>
      </c>
      <c r="C21" s="794"/>
      <c r="D21" s="785" t="s">
        <v>192</v>
      </c>
      <c r="E21" s="875">
        <v>1</v>
      </c>
      <c r="F21" s="784">
        <v>4590</v>
      </c>
      <c r="G21" s="879">
        <f t="shared" si="0"/>
        <v>4245.75</v>
      </c>
      <c r="H21" s="784">
        <v>3818</v>
      </c>
      <c r="I21" s="784">
        <v>3818</v>
      </c>
      <c r="J21" s="880"/>
      <c r="K21" s="881"/>
      <c r="L21" s="877">
        <v>1100022438</v>
      </c>
      <c r="M21" s="877">
        <v>110</v>
      </c>
      <c r="N21" s="781"/>
      <c r="O21" s="781"/>
      <c r="P21" s="781"/>
    </row>
    <row r="22" spans="1:16" ht="16.5" thickBot="1">
      <c r="A22" s="795"/>
      <c r="B22" s="796"/>
      <c r="C22" s="797"/>
      <c r="D22" s="795"/>
      <c r="E22" s="795"/>
      <c r="F22" s="798"/>
      <c r="G22" s="799"/>
      <c r="H22" s="800"/>
      <c r="I22" s="801"/>
      <c r="J22" s="800"/>
      <c r="K22" s="801"/>
      <c r="L22" s="877">
        <v>1100022438</v>
      </c>
      <c r="M22" s="877">
        <v>120</v>
      </c>
      <c r="N22" s="781"/>
      <c r="O22" s="781"/>
      <c r="P22" s="781"/>
    </row>
    <row r="23" spans="1:16" s="750" customFormat="1" ht="13.5" thickBot="1">
      <c r="A23" s="802" t="s">
        <v>58</v>
      </c>
      <c r="B23" s="803"/>
      <c r="C23" s="373">
        <f>SUMPRODUCT(C13:C22, $E$13:$E$22)</f>
        <v>47784.76</v>
      </c>
      <c r="D23" s="805"/>
      <c r="E23" s="575">
        <f>SUM(E13:E21)</f>
        <v>16</v>
      </c>
      <c r="F23" s="373">
        <f t="shared" ref="F23:K23" si="1">SUMPRODUCT(F13:F22, $E$13:$E$22)</f>
        <v>87080.760000000009</v>
      </c>
      <c r="G23" s="373">
        <f t="shared" si="1"/>
        <v>80743.260000000009</v>
      </c>
      <c r="H23" s="373">
        <f t="shared" si="1"/>
        <v>146041</v>
      </c>
      <c r="I23" s="373">
        <f t="shared" si="1"/>
        <v>129821.29999999999</v>
      </c>
      <c r="J23" s="373">
        <f t="shared" si="1"/>
        <v>0</v>
      </c>
      <c r="K23" s="373">
        <f t="shared" si="1"/>
        <v>0</v>
      </c>
      <c r="L23" s="373"/>
      <c r="M23" s="374"/>
      <c r="N23" s="806"/>
      <c r="O23" s="577"/>
      <c r="P23" s="806"/>
    </row>
    <row r="24" spans="1:16">
      <c r="A24" s="1922" t="s">
        <v>59</v>
      </c>
      <c r="B24" s="1923"/>
      <c r="C24" s="807"/>
      <c r="D24" s="807"/>
      <c r="E24" s="376"/>
      <c r="F24" s="379"/>
      <c r="G24" s="377"/>
      <c r="H24" s="379"/>
      <c r="I24" s="379"/>
      <c r="J24" s="379"/>
      <c r="K24" s="377"/>
      <c r="N24" s="781"/>
      <c r="O24" s="808"/>
      <c r="P24" s="781"/>
    </row>
    <row r="25" spans="1:16">
      <c r="A25" s="809" t="s">
        <v>60</v>
      </c>
      <c r="B25" s="810"/>
      <c r="C25" s="807"/>
      <c r="D25" s="807"/>
      <c r="E25" s="376"/>
      <c r="F25" s="382"/>
      <c r="G25" s="380" t="s">
        <v>61</v>
      </c>
      <c r="H25" s="382"/>
      <c r="I25" s="382"/>
      <c r="J25" s="382"/>
      <c r="K25" s="380"/>
    </row>
    <row r="26" spans="1:16">
      <c r="A26" s="1894" t="s">
        <v>62</v>
      </c>
      <c r="B26" s="1895"/>
      <c r="C26" s="807"/>
      <c r="D26" s="807"/>
      <c r="E26" s="376"/>
      <c r="F26" s="382"/>
      <c r="G26" s="380"/>
      <c r="H26" s="382"/>
      <c r="I26" s="382"/>
      <c r="J26" s="382"/>
      <c r="K26" s="380"/>
    </row>
    <row r="27" spans="1:16" ht="12.95" customHeight="1">
      <c r="A27" s="811" t="s">
        <v>63</v>
      </c>
      <c r="B27" s="812"/>
      <c r="C27" s="812"/>
      <c r="D27" s="812"/>
      <c r="E27" s="813"/>
      <c r="F27" s="814">
        <v>0.125</v>
      </c>
      <c r="G27" s="814">
        <v>0.125</v>
      </c>
      <c r="H27" s="814">
        <v>0.125</v>
      </c>
      <c r="I27" s="814">
        <v>0.125</v>
      </c>
      <c r="J27" s="814">
        <v>0.125</v>
      </c>
      <c r="K27" s="814">
        <v>0.125</v>
      </c>
    </row>
    <row r="28" spans="1:16" ht="12.95" customHeight="1">
      <c r="A28" s="811"/>
      <c r="B28" s="812" t="s">
        <v>64</v>
      </c>
      <c r="C28" s="815"/>
      <c r="D28" s="815"/>
      <c r="E28" s="816"/>
      <c r="F28" s="386">
        <f t="shared" ref="F28:K28" si="2">(F23+F24+F25+F26)*F27</f>
        <v>10885.095000000001</v>
      </c>
      <c r="G28" s="384">
        <f>(G23+G24+G26)*G27</f>
        <v>10092.907500000001</v>
      </c>
      <c r="H28" s="386">
        <f t="shared" si="2"/>
        <v>18255.125</v>
      </c>
      <c r="I28" s="386">
        <f t="shared" si="2"/>
        <v>16227.662499999999</v>
      </c>
      <c r="J28" s="386">
        <f t="shared" si="2"/>
        <v>0</v>
      </c>
      <c r="K28" s="384">
        <f t="shared" si="2"/>
        <v>0</v>
      </c>
    </row>
    <row r="29" spans="1:16">
      <c r="A29" s="1894" t="s">
        <v>65</v>
      </c>
      <c r="B29" s="1895"/>
      <c r="C29" s="815"/>
      <c r="D29" s="817"/>
      <c r="E29" s="818"/>
      <c r="F29" s="387"/>
      <c r="G29" s="387"/>
      <c r="H29" s="387">
        <v>0.125</v>
      </c>
      <c r="I29" s="387">
        <v>0.125</v>
      </c>
      <c r="J29" s="387"/>
      <c r="K29" s="387"/>
    </row>
    <row r="30" spans="1:16" ht="12.95" customHeight="1">
      <c r="A30" s="809"/>
      <c r="B30" s="810" t="s">
        <v>66</v>
      </c>
      <c r="C30" s="815"/>
      <c r="D30" s="817"/>
      <c r="E30" s="818"/>
      <c r="F30" s="386">
        <f t="shared" ref="F30:K30" si="3">(F28+F24+F25+F26+F23)*F29</f>
        <v>0</v>
      </c>
      <c r="G30" s="384">
        <f>(G28+G24+G26+G23)*G29</f>
        <v>0</v>
      </c>
      <c r="H30" s="386">
        <f t="shared" si="3"/>
        <v>20537.015625</v>
      </c>
      <c r="I30" s="386">
        <f t="shared" si="3"/>
        <v>18256.120312499999</v>
      </c>
      <c r="J30" s="386">
        <f t="shared" si="3"/>
        <v>0</v>
      </c>
      <c r="K30" s="384">
        <f t="shared" si="3"/>
        <v>0</v>
      </c>
    </row>
    <row r="31" spans="1:16" ht="12.95" customHeight="1">
      <c r="A31" s="809" t="s">
        <v>67</v>
      </c>
      <c r="B31" s="810"/>
      <c r="C31" s="815"/>
      <c r="D31" s="817"/>
      <c r="E31" s="818"/>
      <c r="F31" s="387">
        <v>0.02</v>
      </c>
      <c r="G31" s="387">
        <v>0.02</v>
      </c>
      <c r="H31" s="387"/>
      <c r="I31" s="387"/>
      <c r="J31" s="387">
        <v>0.02</v>
      </c>
      <c r="K31" s="387">
        <v>0.02</v>
      </c>
    </row>
    <row r="32" spans="1:16" ht="12.95" customHeight="1">
      <c r="A32" s="809"/>
      <c r="B32" s="810" t="s">
        <v>68</v>
      </c>
      <c r="C32" s="815"/>
      <c r="D32" s="817"/>
      <c r="E32" s="818"/>
      <c r="F32" s="386">
        <f t="shared" ref="F32:K32" si="4">(F28+F24+F25+F26+F23)*F31</f>
        <v>1959.3171000000002</v>
      </c>
      <c r="G32" s="384">
        <f>(G28+G24+G26+G23)*G31</f>
        <v>1816.7233500000002</v>
      </c>
      <c r="H32" s="386">
        <f t="shared" si="4"/>
        <v>0</v>
      </c>
      <c r="I32" s="386">
        <f t="shared" si="4"/>
        <v>0</v>
      </c>
      <c r="J32" s="386">
        <f t="shared" si="4"/>
        <v>0</v>
      </c>
      <c r="K32" s="384">
        <f t="shared" si="4"/>
        <v>0</v>
      </c>
    </row>
    <row r="33" spans="1:11" ht="12.95" customHeight="1">
      <c r="A33" s="1894" t="s">
        <v>69</v>
      </c>
      <c r="B33" s="1895"/>
      <c r="C33" s="815"/>
      <c r="D33" s="819"/>
      <c r="E33" s="818"/>
      <c r="F33" s="389"/>
      <c r="G33" s="387"/>
      <c r="H33" s="389"/>
      <c r="I33" s="389"/>
      <c r="J33" s="389"/>
      <c r="K33" s="387"/>
    </row>
    <row r="34" spans="1:11" ht="12.95" customHeight="1">
      <c r="A34" s="820"/>
      <c r="B34" s="821" t="s">
        <v>70</v>
      </c>
      <c r="C34" s="822"/>
      <c r="D34" s="823"/>
      <c r="E34" s="824"/>
      <c r="F34" s="386">
        <f t="shared" ref="F34:K34" si="5">F23*F33</f>
        <v>0</v>
      </c>
      <c r="G34" s="384">
        <f t="shared" si="5"/>
        <v>0</v>
      </c>
      <c r="H34" s="386">
        <f t="shared" si="5"/>
        <v>0</v>
      </c>
      <c r="I34" s="386">
        <f t="shared" si="5"/>
        <v>0</v>
      </c>
      <c r="J34" s="386">
        <f t="shared" si="5"/>
        <v>0</v>
      </c>
      <c r="K34" s="384">
        <f t="shared" si="5"/>
        <v>0</v>
      </c>
    </row>
    <row r="35" spans="1:11" ht="13.5" thickBot="1">
      <c r="A35" s="1896"/>
      <c r="B35" s="1897"/>
      <c r="C35" s="822"/>
      <c r="D35" s="822"/>
      <c r="E35" s="391"/>
      <c r="F35" s="394"/>
      <c r="G35" s="392"/>
      <c r="H35" s="394"/>
      <c r="I35" s="394"/>
      <c r="J35" s="394"/>
      <c r="K35" s="392"/>
    </row>
    <row r="36" spans="1:11" ht="13.5" thickBot="1">
      <c r="A36" s="825" t="s">
        <v>71</v>
      </c>
      <c r="B36" s="826"/>
      <c r="C36" s="826"/>
      <c r="D36" s="826"/>
      <c r="E36" s="827"/>
      <c r="F36" s="828">
        <f>SUM(F23,F24,F26,F28,F30)</f>
        <v>97965.85500000001</v>
      </c>
      <c r="G36" s="829">
        <f>SUM(G23+G28+G32+G35)</f>
        <v>92652.890850000011</v>
      </c>
      <c r="H36" s="828">
        <f>SUM(H23,H24,H26,H28,H30)</f>
        <v>184833.140625</v>
      </c>
      <c r="I36" s="828">
        <f>SUM(I23,I24,I26,I28,I30)</f>
        <v>164305.08281249998</v>
      </c>
      <c r="J36" s="828">
        <f>SUM(J23,J24,J26,J28,J30)</f>
        <v>0</v>
      </c>
      <c r="K36" s="828">
        <f>SUM(K23,K24,K26,K28,K30)</f>
        <v>0</v>
      </c>
    </row>
    <row r="37" spans="1:11" s="834" customFormat="1" ht="13.5" thickBot="1">
      <c r="A37" s="830"/>
      <c r="B37" s="831"/>
      <c r="C37" s="831"/>
      <c r="D37" s="831"/>
      <c r="E37" s="831"/>
      <c r="F37" s="832"/>
      <c r="G37" s="833"/>
      <c r="H37" s="832"/>
      <c r="I37" s="832"/>
      <c r="J37" s="832"/>
      <c r="K37" s="832"/>
    </row>
    <row r="38" spans="1:11" s="750" customFormat="1" ht="13.5" thickBot="1">
      <c r="A38" s="825" t="s">
        <v>72</v>
      </c>
      <c r="B38" s="826"/>
      <c r="C38" s="826"/>
      <c r="D38" s="826"/>
      <c r="E38" s="827"/>
      <c r="F38" s="829">
        <f>F23+F32+F24</f>
        <v>89040.07710000001</v>
      </c>
      <c r="G38" s="829">
        <f>G23+G32+G24+G26</f>
        <v>82559.98335000001</v>
      </c>
      <c r="H38" s="829">
        <f>H23+H32+H24</f>
        <v>146041</v>
      </c>
      <c r="I38" s="829">
        <f>I23+I32+I24</f>
        <v>129821.29999999999</v>
      </c>
      <c r="J38" s="829">
        <f>J23+J32+J24</f>
        <v>0</v>
      </c>
      <c r="K38" s="829">
        <f>K23+K32+K24</f>
        <v>0</v>
      </c>
    </row>
    <row r="39" spans="1:11" ht="13.5" thickBot="1">
      <c r="A39" s="835"/>
      <c r="B39" s="836"/>
      <c r="C39" s="837"/>
      <c r="D39" s="837"/>
      <c r="E39" s="397"/>
      <c r="F39" s="838"/>
      <c r="G39" s="839"/>
      <c r="H39" s="838"/>
      <c r="I39" s="840"/>
      <c r="J39" s="838"/>
      <c r="K39" s="840"/>
    </row>
    <row r="40" spans="1:11">
      <c r="A40" s="841" t="s">
        <v>73</v>
      </c>
      <c r="B40" s="842" t="s">
        <v>74</v>
      </c>
      <c r="C40" s="843"/>
      <c r="D40" s="843"/>
      <c r="E40" s="399"/>
      <c r="F40" s="844" t="s">
        <v>392</v>
      </c>
      <c r="G40" s="844" t="s">
        <v>348</v>
      </c>
      <c r="H40" s="844" t="s">
        <v>1403</v>
      </c>
      <c r="I40" s="844" t="s">
        <v>1403</v>
      </c>
      <c r="J40" s="844" t="s">
        <v>1203</v>
      </c>
      <c r="K40" s="844" t="s">
        <v>1203</v>
      </c>
    </row>
    <row r="41" spans="1:11" ht="13.5" thickBot="1">
      <c r="A41" s="845" t="s">
        <v>79</v>
      </c>
      <c r="B41" s="846" t="s">
        <v>80</v>
      </c>
      <c r="C41" s="847"/>
      <c r="D41" s="847"/>
      <c r="E41" s="401"/>
      <c r="F41" s="848" t="s">
        <v>329</v>
      </c>
      <c r="G41" s="849" t="s">
        <v>82</v>
      </c>
      <c r="H41" s="844" t="s">
        <v>165</v>
      </c>
      <c r="I41" s="844" t="s">
        <v>165</v>
      </c>
      <c r="J41" s="844" t="s">
        <v>165</v>
      </c>
      <c r="K41" s="844" t="s">
        <v>1388</v>
      </c>
    </row>
    <row r="42" spans="1:11" ht="63.75">
      <c r="A42" s="850" t="s">
        <v>85</v>
      </c>
      <c r="B42" s="851" t="s">
        <v>86</v>
      </c>
      <c r="C42" s="852"/>
      <c r="D42" s="852"/>
      <c r="E42" s="402"/>
      <c r="F42" s="853" t="s">
        <v>330</v>
      </c>
      <c r="G42" s="853" t="s">
        <v>1389</v>
      </c>
      <c r="H42" s="854" t="s">
        <v>1390</v>
      </c>
      <c r="I42" s="854" t="s">
        <v>168</v>
      </c>
      <c r="J42" s="854" t="s">
        <v>1390</v>
      </c>
      <c r="K42" s="854" t="s">
        <v>1391</v>
      </c>
    </row>
    <row r="43" spans="1:11">
      <c r="A43" s="855" t="s">
        <v>90</v>
      </c>
      <c r="B43" s="852" t="s">
        <v>91</v>
      </c>
      <c r="C43" s="852"/>
      <c r="D43" s="852"/>
      <c r="E43" s="402"/>
      <c r="F43" s="856" t="s">
        <v>351</v>
      </c>
      <c r="G43" s="856" t="s">
        <v>351</v>
      </c>
      <c r="H43" s="854" t="s">
        <v>92</v>
      </c>
      <c r="I43" s="856" t="s">
        <v>331</v>
      </c>
      <c r="J43" s="854" t="s">
        <v>92</v>
      </c>
      <c r="K43" s="856" t="s">
        <v>331</v>
      </c>
    </row>
    <row r="44" spans="1:11" ht="39.950000000000003" customHeight="1">
      <c r="A44" s="855" t="s">
        <v>93</v>
      </c>
      <c r="B44" s="851" t="s">
        <v>94</v>
      </c>
      <c r="C44" s="852"/>
      <c r="D44" s="852"/>
      <c r="E44" s="402"/>
      <c r="F44" s="857" t="s">
        <v>332</v>
      </c>
      <c r="G44" s="858" t="s">
        <v>332</v>
      </c>
      <c r="H44" s="857"/>
      <c r="I44" s="859"/>
      <c r="J44" s="857"/>
      <c r="K44" s="859"/>
    </row>
    <row r="45" spans="1:11" ht="89.25">
      <c r="A45" s="855" t="s">
        <v>95</v>
      </c>
      <c r="B45" s="851" t="s">
        <v>96</v>
      </c>
      <c r="C45" s="852"/>
      <c r="D45" s="852"/>
      <c r="E45" s="402"/>
      <c r="F45" s="854" t="s">
        <v>97</v>
      </c>
      <c r="G45" s="853" t="s">
        <v>98</v>
      </c>
      <c r="H45" s="854" t="s">
        <v>97</v>
      </c>
      <c r="I45" s="854" t="s">
        <v>97</v>
      </c>
      <c r="J45" s="854" t="s">
        <v>97</v>
      </c>
      <c r="K45" s="854" t="s">
        <v>97</v>
      </c>
    </row>
    <row r="46" spans="1:11" ht="51.75" thickBot="1">
      <c r="A46" s="860" t="s">
        <v>99</v>
      </c>
      <c r="B46" s="861" t="s">
        <v>100</v>
      </c>
      <c r="C46" s="862"/>
      <c r="D46" s="862"/>
      <c r="E46" s="403"/>
      <c r="F46" s="863" t="s">
        <v>101</v>
      </c>
      <c r="G46" s="864" t="s">
        <v>101</v>
      </c>
      <c r="H46" s="863" t="s">
        <v>101</v>
      </c>
      <c r="I46" s="863" t="s">
        <v>101</v>
      </c>
      <c r="J46" s="863" t="s">
        <v>101</v>
      </c>
      <c r="K46" s="863" t="s">
        <v>101</v>
      </c>
    </row>
    <row r="47" spans="1:11" ht="30" customHeight="1">
      <c r="A47" s="1898" t="s">
        <v>102</v>
      </c>
      <c r="B47" s="1899"/>
      <c r="C47" s="1900"/>
      <c r="D47" s="1901" t="s">
        <v>103</v>
      </c>
      <c r="E47" s="1902"/>
      <c r="F47" s="1903"/>
      <c r="G47" s="1904" t="s">
        <v>104</v>
      </c>
      <c r="H47" s="1905"/>
      <c r="I47" s="1906"/>
      <c r="J47" s="865"/>
      <c r="K47" s="865"/>
    </row>
    <row r="48" spans="1:11" ht="13.5" thickBot="1">
      <c r="A48" s="1898"/>
      <c r="B48" s="1899"/>
      <c r="C48" s="1900"/>
      <c r="D48" s="1901"/>
      <c r="E48" s="1902"/>
      <c r="F48" s="1903"/>
      <c r="G48" s="1907"/>
      <c r="H48" s="1908"/>
      <c r="I48" s="1909"/>
      <c r="J48" s="865"/>
      <c r="K48" s="865"/>
    </row>
    <row r="49" spans="1:11">
      <c r="A49" s="838"/>
      <c r="B49" s="866"/>
      <c r="C49" s="867"/>
      <c r="D49" s="867"/>
      <c r="E49" s="406"/>
      <c r="F49" s="867"/>
      <c r="G49" s="867"/>
      <c r="H49" s="867"/>
      <c r="I49" s="867"/>
      <c r="J49" s="867"/>
      <c r="K49" s="867"/>
    </row>
    <row r="50" spans="1:11">
      <c r="A50" s="868"/>
      <c r="B50" s="869"/>
      <c r="C50" s="781"/>
      <c r="D50" s="781"/>
      <c r="E50" s="407"/>
      <c r="F50" s="781"/>
      <c r="G50" s="781"/>
      <c r="H50" s="781"/>
      <c r="I50" s="781"/>
      <c r="J50" s="781"/>
      <c r="K50" s="781"/>
    </row>
    <row r="51" spans="1:11">
      <c r="A51" s="868"/>
      <c r="B51" s="773" t="s">
        <v>105</v>
      </c>
      <c r="C51" s="774"/>
      <c r="D51" s="774"/>
      <c r="E51" s="774" t="s">
        <v>106</v>
      </c>
      <c r="F51" s="774"/>
      <c r="G51" s="774"/>
      <c r="H51" s="774" t="s">
        <v>107</v>
      </c>
      <c r="I51" s="781"/>
      <c r="J51" s="774" t="s">
        <v>107</v>
      </c>
      <c r="K51" s="781"/>
    </row>
    <row r="52" spans="1:11" ht="13.5" thickBot="1">
      <c r="A52" s="870"/>
      <c r="B52" s="871"/>
      <c r="C52" s="872"/>
      <c r="D52" s="872"/>
      <c r="E52" s="872"/>
      <c r="F52" s="872"/>
      <c r="G52" s="872"/>
      <c r="H52" s="872"/>
      <c r="I52" s="872"/>
      <c r="J52" s="872"/>
      <c r="K52" s="872"/>
    </row>
  </sheetData>
  <mergeCells count="28">
    <mergeCell ref="A2:I2"/>
    <mergeCell ref="A3:I3"/>
    <mergeCell ref="E4:E5"/>
    <mergeCell ref="A7:A12"/>
    <mergeCell ref="B7:B12"/>
    <mergeCell ref="C7:C12"/>
    <mergeCell ref="D7:D12"/>
    <mergeCell ref="E7:E12"/>
    <mergeCell ref="F7:G7"/>
    <mergeCell ref="H7:I7"/>
    <mergeCell ref="A29:B29"/>
    <mergeCell ref="J7:K7"/>
    <mergeCell ref="F8:G9"/>
    <mergeCell ref="H8:I9"/>
    <mergeCell ref="J8:K9"/>
    <mergeCell ref="F10:G10"/>
    <mergeCell ref="H10:I10"/>
    <mergeCell ref="J10:K10"/>
    <mergeCell ref="F11:G11"/>
    <mergeCell ref="H11:I11"/>
    <mergeCell ref="J11:K11"/>
    <mergeCell ref="A24:B24"/>
    <mergeCell ref="A26:B26"/>
    <mergeCell ref="A33:B33"/>
    <mergeCell ref="A35:B35"/>
    <mergeCell ref="A47:C48"/>
    <mergeCell ref="D47:F48"/>
    <mergeCell ref="G47:I48"/>
  </mergeCells>
  <pageMargins left="0.25" right="0.25" top="0.75" bottom="0.75" header="0.3" footer="0.3"/>
  <pageSetup scale="50" orientation="landscape"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8"/>
  <sheetViews>
    <sheetView topLeftCell="A4" zoomScaleNormal="100" workbookViewId="0">
      <selection activeCell="F13" sqref="F13"/>
    </sheetView>
  </sheetViews>
  <sheetFormatPr defaultRowHeight="12.75"/>
  <cols>
    <col min="1" max="1" width="6.140625" style="754" customWidth="1"/>
    <col min="2" max="2" width="52.7109375" style="873" customWidth="1"/>
    <col min="3" max="3" width="16" style="754" customWidth="1"/>
    <col min="4" max="4" width="6.140625" style="754" customWidth="1"/>
    <col min="5" max="5" width="12.7109375" style="754" customWidth="1"/>
    <col min="6" max="6" width="20.5703125" style="754" customWidth="1"/>
    <col min="7" max="7" width="18.85546875" style="754" customWidth="1"/>
    <col min="8" max="8" width="17.5703125" style="754" customWidth="1"/>
    <col min="9" max="9" width="18.42578125" style="754" customWidth="1"/>
    <col min="10" max="10" width="17.5703125" style="754" customWidth="1"/>
    <col min="11" max="11" width="18.42578125" style="754" customWidth="1"/>
    <col min="12" max="12" width="12.42578125" style="754" bestFit="1" customWidth="1"/>
    <col min="13" max="13" width="11.140625" style="754" bestFit="1" customWidth="1"/>
    <col min="14" max="14" width="9.140625" style="754"/>
    <col min="15" max="15" width="11" style="754" bestFit="1" customWidth="1"/>
    <col min="16" max="250" width="9.140625" style="754"/>
    <col min="251" max="251" width="4" style="754" customWidth="1"/>
    <col min="252" max="252" width="30.7109375" style="754" customWidth="1"/>
    <col min="253" max="254" width="10" style="754" customWidth="1"/>
    <col min="255" max="255" width="9.85546875" style="754" customWidth="1"/>
    <col min="256" max="256" width="12.42578125" style="754" customWidth="1"/>
    <col min="257" max="262" width="12.7109375" style="754" customWidth="1"/>
    <col min="263" max="263" width="13" style="754" customWidth="1"/>
    <col min="264" max="265" width="12.7109375" style="754" customWidth="1"/>
    <col min="266" max="266" width="9.140625" style="754"/>
    <col min="267" max="267" width="11.140625" style="754" bestFit="1" customWidth="1"/>
    <col min="268" max="506" width="9.140625" style="754"/>
    <col min="507" max="507" width="4" style="754" customWidth="1"/>
    <col min="508" max="508" width="30.7109375" style="754" customWidth="1"/>
    <col min="509" max="510" width="10" style="754" customWidth="1"/>
    <col min="511" max="511" width="9.85546875" style="754" customWidth="1"/>
    <col min="512" max="512" width="12.42578125" style="754" customWidth="1"/>
    <col min="513" max="518" width="12.7109375" style="754" customWidth="1"/>
    <col min="519" max="519" width="13" style="754" customWidth="1"/>
    <col min="520" max="521" width="12.7109375" style="754" customWidth="1"/>
    <col min="522" max="522" width="9.140625" style="754"/>
    <col min="523" max="523" width="11.140625" style="754" bestFit="1" customWidth="1"/>
    <col min="524" max="762" width="9.140625" style="754"/>
    <col min="763" max="763" width="4" style="754" customWidth="1"/>
    <col min="764" max="764" width="30.7109375" style="754" customWidth="1"/>
    <col min="765" max="766" width="10" style="754" customWidth="1"/>
    <col min="767" max="767" width="9.85546875" style="754" customWidth="1"/>
    <col min="768" max="768" width="12.42578125" style="754" customWidth="1"/>
    <col min="769" max="774" width="12.7109375" style="754" customWidth="1"/>
    <col min="775" max="775" width="13" style="754" customWidth="1"/>
    <col min="776" max="777" width="12.7109375" style="754" customWidth="1"/>
    <col min="778" max="778" width="9.140625" style="754"/>
    <col min="779" max="779" width="11.140625" style="754" bestFit="1" customWidth="1"/>
    <col min="780" max="1018" width="9.140625" style="754"/>
    <col min="1019" max="1019" width="4" style="754" customWidth="1"/>
    <col min="1020" max="1020" width="30.7109375" style="754" customWidth="1"/>
    <col min="1021" max="1022" width="10" style="754" customWidth="1"/>
    <col min="1023" max="1023" width="9.85546875" style="754" customWidth="1"/>
    <col min="1024" max="1024" width="12.42578125" style="754" customWidth="1"/>
    <col min="1025" max="1030" width="12.7109375" style="754" customWidth="1"/>
    <col min="1031" max="1031" width="13" style="754" customWidth="1"/>
    <col min="1032" max="1033" width="12.7109375" style="754" customWidth="1"/>
    <col min="1034" max="1034" width="9.140625" style="754"/>
    <col min="1035" max="1035" width="11.140625" style="754" bestFit="1" customWidth="1"/>
    <col min="1036" max="1274" width="9.140625" style="754"/>
    <col min="1275" max="1275" width="4" style="754" customWidth="1"/>
    <col min="1276" max="1276" width="30.7109375" style="754" customWidth="1"/>
    <col min="1277" max="1278" width="10" style="754" customWidth="1"/>
    <col min="1279" max="1279" width="9.85546875" style="754" customWidth="1"/>
    <col min="1280" max="1280" width="12.42578125" style="754" customWidth="1"/>
    <col min="1281" max="1286" width="12.7109375" style="754" customWidth="1"/>
    <col min="1287" max="1287" width="13" style="754" customWidth="1"/>
    <col min="1288" max="1289" width="12.7109375" style="754" customWidth="1"/>
    <col min="1290" max="1290" width="9.140625" style="754"/>
    <col min="1291" max="1291" width="11.140625" style="754" bestFit="1" customWidth="1"/>
    <col min="1292" max="1530" width="9.140625" style="754"/>
    <col min="1531" max="1531" width="4" style="754" customWidth="1"/>
    <col min="1532" max="1532" width="30.7109375" style="754" customWidth="1"/>
    <col min="1533" max="1534" width="10" style="754" customWidth="1"/>
    <col min="1535" max="1535" width="9.85546875" style="754" customWidth="1"/>
    <col min="1536" max="1536" width="12.42578125" style="754" customWidth="1"/>
    <col min="1537" max="1542" width="12.7109375" style="754" customWidth="1"/>
    <col min="1543" max="1543" width="13" style="754" customWidth="1"/>
    <col min="1544" max="1545" width="12.7109375" style="754" customWidth="1"/>
    <col min="1546" max="1546" width="9.140625" style="754"/>
    <col min="1547" max="1547" width="11.140625" style="754" bestFit="1" customWidth="1"/>
    <col min="1548" max="1786" width="9.140625" style="754"/>
    <col min="1787" max="1787" width="4" style="754" customWidth="1"/>
    <col min="1788" max="1788" width="30.7109375" style="754" customWidth="1"/>
    <col min="1789" max="1790" width="10" style="754" customWidth="1"/>
    <col min="1791" max="1791" width="9.85546875" style="754" customWidth="1"/>
    <col min="1792" max="1792" width="12.42578125" style="754" customWidth="1"/>
    <col min="1793" max="1798" width="12.7109375" style="754" customWidth="1"/>
    <col min="1799" max="1799" width="13" style="754" customWidth="1"/>
    <col min="1800" max="1801" width="12.7109375" style="754" customWidth="1"/>
    <col min="1802" max="1802" width="9.140625" style="754"/>
    <col min="1803" max="1803" width="11.140625" style="754" bestFit="1" customWidth="1"/>
    <col min="1804" max="2042" width="9.140625" style="754"/>
    <col min="2043" max="2043" width="4" style="754" customWidth="1"/>
    <col min="2044" max="2044" width="30.7109375" style="754" customWidth="1"/>
    <col min="2045" max="2046" width="10" style="754" customWidth="1"/>
    <col min="2047" max="2047" width="9.85546875" style="754" customWidth="1"/>
    <col min="2048" max="2048" width="12.42578125" style="754" customWidth="1"/>
    <col min="2049" max="2054" width="12.7109375" style="754" customWidth="1"/>
    <col min="2055" max="2055" width="13" style="754" customWidth="1"/>
    <col min="2056" max="2057" width="12.7109375" style="754" customWidth="1"/>
    <col min="2058" max="2058" width="9.140625" style="754"/>
    <col min="2059" max="2059" width="11.140625" style="754" bestFit="1" customWidth="1"/>
    <col min="2060" max="2298" width="9.140625" style="754"/>
    <col min="2299" max="2299" width="4" style="754" customWidth="1"/>
    <col min="2300" max="2300" width="30.7109375" style="754" customWidth="1"/>
    <col min="2301" max="2302" width="10" style="754" customWidth="1"/>
    <col min="2303" max="2303" width="9.85546875" style="754" customWidth="1"/>
    <col min="2304" max="2304" width="12.42578125" style="754" customWidth="1"/>
    <col min="2305" max="2310" width="12.7109375" style="754" customWidth="1"/>
    <col min="2311" max="2311" width="13" style="754" customWidth="1"/>
    <col min="2312" max="2313" width="12.7109375" style="754" customWidth="1"/>
    <col min="2314" max="2314" width="9.140625" style="754"/>
    <col min="2315" max="2315" width="11.140625" style="754" bestFit="1" customWidth="1"/>
    <col min="2316" max="2554" width="9.140625" style="754"/>
    <col min="2555" max="2555" width="4" style="754" customWidth="1"/>
    <col min="2556" max="2556" width="30.7109375" style="754" customWidth="1"/>
    <col min="2557" max="2558" width="10" style="754" customWidth="1"/>
    <col min="2559" max="2559" width="9.85546875" style="754" customWidth="1"/>
    <col min="2560" max="2560" width="12.42578125" style="754" customWidth="1"/>
    <col min="2561" max="2566" width="12.7109375" style="754" customWidth="1"/>
    <col min="2567" max="2567" width="13" style="754" customWidth="1"/>
    <col min="2568" max="2569" width="12.7109375" style="754" customWidth="1"/>
    <col min="2570" max="2570" width="9.140625" style="754"/>
    <col min="2571" max="2571" width="11.140625" style="754" bestFit="1" customWidth="1"/>
    <col min="2572" max="2810" width="9.140625" style="754"/>
    <col min="2811" max="2811" width="4" style="754" customWidth="1"/>
    <col min="2812" max="2812" width="30.7109375" style="754" customWidth="1"/>
    <col min="2813" max="2814" width="10" style="754" customWidth="1"/>
    <col min="2815" max="2815" width="9.85546875" style="754" customWidth="1"/>
    <col min="2816" max="2816" width="12.42578125" style="754" customWidth="1"/>
    <col min="2817" max="2822" width="12.7109375" style="754" customWidth="1"/>
    <col min="2823" max="2823" width="13" style="754" customWidth="1"/>
    <col min="2824" max="2825" width="12.7109375" style="754" customWidth="1"/>
    <col min="2826" max="2826" width="9.140625" style="754"/>
    <col min="2827" max="2827" width="11.140625" style="754" bestFit="1" customWidth="1"/>
    <col min="2828" max="3066" width="9.140625" style="754"/>
    <col min="3067" max="3067" width="4" style="754" customWidth="1"/>
    <col min="3068" max="3068" width="30.7109375" style="754" customWidth="1"/>
    <col min="3069" max="3070" width="10" style="754" customWidth="1"/>
    <col min="3071" max="3071" width="9.85546875" style="754" customWidth="1"/>
    <col min="3072" max="3072" width="12.42578125" style="754" customWidth="1"/>
    <col min="3073" max="3078" width="12.7109375" style="754" customWidth="1"/>
    <col min="3079" max="3079" width="13" style="754" customWidth="1"/>
    <col min="3080" max="3081" width="12.7109375" style="754" customWidth="1"/>
    <col min="3082" max="3082" width="9.140625" style="754"/>
    <col min="3083" max="3083" width="11.140625" style="754" bestFit="1" customWidth="1"/>
    <col min="3084" max="3322" width="9.140625" style="754"/>
    <col min="3323" max="3323" width="4" style="754" customWidth="1"/>
    <col min="3324" max="3324" width="30.7109375" style="754" customWidth="1"/>
    <col min="3325" max="3326" width="10" style="754" customWidth="1"/>
    <col min="3327" max="3327" width="9.85546875" style="754" customWidth="1"/>
    <col min="3328" max="3328" width="12.42578125" style="754" customWidth="1"/>
    <col min="3329" max="3334" width="12.7109375" style="754" customWidth="1"/>
    <col min="3335" max="3335" width="13" style="754" customWidth="1"/>
    <col min="3336" max="3337" width="12.7109375" style="754" customWidth="1"/>
    <col min="3338" max="3338" width="9.140625" style="754"/>
    <col min="3339" max="3339" width="11.140625" style="754" bestFit="1" customWidth="1"/>
    <col min="3340" max="3578" width="9.140625" style="754"/>
    <col min="3579" max="3579" width="4" style="754" customWidth="1"/>
    <col min="3580" max="3580" width="30.7109375" style="754" customWidth="1"/>
    <col min="3581" max="3582" width="10" style="754" customWidth="1"/>
    <col min="3583" max="3583" width="9.85546875" style="754" customWidth="1"/>
    <col min="3584" max="3584" width="12.42578125" style="754" customWidth="1"/>
    <col min="3585" max="3590" width="12.7109375" style="754" customWidth="1"/>
    <col min="3591" max="3591" width="13" style="754" customWidth="1"/>
    <col min="3592" max="3593" width="12.7109375" style="754" customWidth="1"/>
    <col min="3594" max="3594" width="9.140625" style="754"/>
    <col min="3595" max="3595" width="11.140625" style="754" bestFit="1" customWidth="1"/>
    <col min="3596" max="3834" width="9.140625" style="754"/>
    <col min="3835" max="3835" width="4" style="754" customWidth="1"/>
    <col min="3836" max="3836" width="30.7109375" style="754" customWidth="1"/>
    <col min="3837" max="3838" width="10" style="754" customWidth="1"/>
    <col min="3839" max="3839" width="9.85546875" style="754" customWidth="1"/>
    <col min="3840" max="3840" width="12.42578125" style="754" customWidth="1"/>
    <col min="3841" max="3846" width="12.7109375" style="754" customWidth="1"/>
    <col min="3847" max="3847" width="13" style="754" customWidth="1"/>
    <col min="3848" max="3849" width="12.7109375" style="754" customWidth="1"/>
    <col min="3850" max="3850" width="9.140625" style="754"/>
    <col min="3851" max="3851" width="11.140625" style="754" bestFit="1" customWidth="1"/>
    <col min="3852" max="4090" width="9.140625" style="754"/>
    <col min="4091" max="4091" width="4" style="754" customWidth="1"/>
    <col min="4092" max="4092" width="30.7109375" style="754" customWidth="1"/>
    <col min="4093" max="4094" width="10" style="754" customWidth="1"/>
    <col min="4095" max="4095" width="9.85546875" style="754" customWidth="1"/>
    <col min="4096" max="4096" width="12.42578125" style="754" customWidth="1"/>
    <col min="4097" max="4102" width="12.7109375" style="754" customWidth="1"/>
    <col min="4103" max="4103" width="13" style="754" customWidth="1"/>
    <col min="4104" max="4105" width="12.7109375" style="754" customWidth="1"/>
    <col min="4106" max="4106" width="9.140625" style="754"/>
    <col min="4107" max="4107" width="11.140625" style="754" bestFit="1" customWidth="1"/>
    <col min="4108" max="4346" width="9.140625" style="754"/>
    <col min="4347" max="4347" width="4" style="754" customWidth="1"/>
    <col min="4348" max="4348" width="30.7109375" style="754" customWidth="1"/>
    <col min="4349" max="4350" width="10" style="754" customWidth="1"/>
    <col min="4351" max="4351" width="9.85546875" style="754" customWidth="1"/>
    <col min="4352" max="4352" width="12.42578125" style="754" customWidth="1"/>
    <col min="4353" max="4358" width="12.7109375" style="754" customWidth="1"/>
    <col min="4359" max="4359" width="13" style="754" customWidth="1"/>
    <col min="4360" max="4361" width="12.7109375" style="754" customWidth="1"/>
    <col min="4362" max="4362" width="9.140625" style="754"/>
    <col min="4363" max="4363" width="11.140625" style="754" bestFit="1" customWidth="1"/>
    <col min="4364" max="4602" width="9.140625" style="754"/>
    <col min="4603" max="4603" width="4" style="754" customWidth="1"/>
    <col min="4604" max="4604" width="30.7109375" style="754" customWidth="1"/>
    <col min="4605" max="4606" width="10" style="754" customWidth="1"/>
    <col min="4607" max="4607" width="9.85546875" style="754" customWidth="1"/>
    <col min="4608" max="4608" width="12.42578125" style="754" customWidth="1"/>
    <col min="4609" max="4614" width="12.7109375" style="754" customWidth="1"/>
    <col min="4615" max="4615" width="13" style="754" customWidth="1"/>
    <col min="4616" max="4617" width="12.7109375" style="754" customWidth="1"/>
    <col min="4618" max="4618" width="9.140625" style="754"/>
    <col min="4619" max="4619" width="11.140625" style="754" bestFit="1" customWidth="1"/>
    <col min="4620" max="4858" width="9.140625" style="754"/>
    <col min="4859" max="4859" width="4" style="754" customWidth="1"/>
    <col min="4860" max="4860" width="30.7109375" style="754" customWidth="1"/>
    <col min="4861" max="4862" width="10" style="754" customWidth="1"/>
    <col min="4863" max="4863" width="9.85546875" style="754" customWidth="1"/>
    <col min="4864" max="4864" width="12.42578125" style="754" customWidth="1"/>
    <col min="4865" max="4870" width="12.7109375" style="754" customWidth="1"/>
    <col min="4871" max="4871" width="13" style="754" customWidth="1"/>
    <col min="4872" max="4873" width="12.7109375" style="754" customWidth="1"/>
    <col min="4874" max="4874" width="9.140625" style="754"/>
    <col min="4875" max="4875" width="11.140625" style="754" bestFit="1" customWidth="1"/>
    <col min="4876" max="5114" width="9.140625" style="754"/>
    <col min="5115" max="5115" width="4" style="754" customWidth="1"/>
    <col min="5116" max="5116" width="30.7109375" style="754" customWidth="1"/>
    <col min="5117" max="5118" width="10" style="754" customWidth="1"/>
    <col min="5119" max="5119" width="9.85546875" style="754" customWidth="1"/>
    <col min="5120" max="5120" width="12.42578125" style="754" customWidth="1"/>
    <col min="5121" max="5126" width="12.7109375" style="754" customWidth="1"/>
    <col min="5127" max="5127" width="13" style="754" customWidth="1"/>
    <col min="5128" max="5129" width="12.7109375" style="754" customWidth="1"/>
    <col min="5130" max="5130" width="9.140625" style="754"/>
    <col min="5131" max="5131" width="11.140625" style="754" bestFit="1" customWidth="1"/>
    <col min="5132" max="5370" width="9.140625" style="754"/>
    <col min="5371" max="5371" width="4" style="754" customWidth="1"/>
    <col min="5372" max="5372" width="30.7109375" style="754" customWidth="1"/>
    <col min="5373" max="5374" width="10" style="754" customWidth="1"/>
    <col min="5375" max="5375" width="9.85546875" style="754" customWidth="1"/>
    <col min="5376" max="5376" width="12.42578125" style="754" customWidth="1"/>
    <col min="5377" max="5382" width="12.7109375" style="754" customWidth="1"/>
    <col min="5383" max="5383" width="13" style="754" customWidth="1"/>
    <col min="5384" max="5385" width="12.7109375" style="754" customWidth="1"/>
    <col min="5386" max="5386" width="9.140625" style="754"/>
    <col min="5387" max="5387" width="11.140625" style="754" bestFit="1" customWidth="1"/>
    <col min="5388" max="5626" width="9.140625" style="754"/>
    <col min="5627" max="5627" width="4" style="754" customWidth="1"/>
    <col min="5628" max="5628" width="30.7109375" style="754" customWidth="1"/>
    <col min="5629" max="5630" width="10" style="754" customWidth="1"/>
    <col min="5631" max="5631" width="9.85546875" style="754" customWidth="1"/>
    <col min="5632" max="5632" width="12.42578125" style="754" customWidth="1"/>
    <col min="5633" max="5638" width="12.7109375" style="754" customWidth="1"/>
    <col min="5639" max="5639" width="13" style="754" customWidth="1"/>
    <col min="5640" max="5641" width="12.7109375" style="754" customWidth="1"/>
    <col min="5642" max="5642" width="9.140625" style="754"/>
    <col min="5643" max="5643" width="11.140625" style="754" bestFit="1" customWidth="1"/>
    <col min="5644" max="5882" width="9.140625" style="754"/>
    <col min="5883" max="5883" width="4" style="754" customWidth="1"/>
    <col min="5884" max="5884" width="30.7109375" style="754" customWidth="1"/>
    <col min="5885" max="5886" width="10" style="754" customWidth="1"/>
    <col min="5887" max="5887" width="9.85546875" style="754" customWidth="1"/>
    <col min="5888" max="5888" width="12.42578125" style="754" customWidth="1"/>
    <col min="5889" max="5894" width="12.7109375" style="754" customWidth="1"/>
    <col min="5895" max="5895" width="13" style="754" customWidth="1"/>
    <col min="5896" max="5897" width="12.7109375" style="754" customWidth="1"/>
    <col min="5898" max="5898" width="9.140625" style="754"/>
    <col min="5899" max="5899" width="11.140625" style="754" bestFit="1" customWidth="1"/>
    <col min="5900" max="6138" width="9.140625" style="754"/>
    <col min="6139" max="6139" width="4" style="754" customWidth="1"/>
    <col min="6140" max="6140" width="30.7109375" style="754" customWidth="1"/>
    <col min="6141" max="6142" width="10" style="754" customWidth="1"/>
    <col min="6143" max="6143" width="9.85546875" style="754" customWidth="1"/>
    <col min="6144" max="6144" width="12.42578125" style="754" customWidth="1"/>
    <col min="6145" max="6150" width="12.7109375" style="754" customWidth="1"/>
    <col min="6151" max="6151" width="13" style="754" customWidth="1"/>
    <col min="6152" max="6153" width="12.7109375" style="754" customWidth="1"/>
    <col min="6154" max="6154" width="9.140625" style="754"/>
    <col min="6155" max="6155" width="11.140625" style="754" bestFit="1" customWidth="1"/>
    <col min="6156" max="6394" width="9.140625" style="754"/>
    <col min="6395" max="6395" width="4" style="754" customWidth="1"/>
    <col min="6396" max="6396" width="30.7109375" style="754" customWidth="1"/>
    <col min="6397" max="6398" width="10" style="754" customWidth="1"/>
    <col min="6399" max="6399" width="9.85546875" style="754" customWidth="1"/>
    <col min="6400" max="6400" width="12.42578125" style="754" customWidth="1"/>
    <col min="6401" max="6406" width="12.7109375" style="754" customWidth="1"/>
    <col min="6407" max="6407" width="13" style="754" customWidth="1"/>
    <col min="6408" max="6409" width="12.7109375" style="754" customWidth="1"/>
    <col min="6410" max="6410" width="9.140625" style="754"/>
    <col min="6411" max="6411" width="11.140625" style="754" bestFit="1" customWidth="1"/>
    <col min="6412" max="6650" width="9.140625" style="754"/>
    <col min="6651" max="6651" width="4" style="754" customWidth="1"/>
    <col min="6652" max="6652" width="30.7109375" style="754" customWidth="1"/>
    <col min="6653" max="6654" width="10" style="754" customWidth="1"/>
    <col min="6655" max="6655" width="9.85546875" style="754" customWidth="1"/>
    <col min="6656" max="6656" width="12.42578125" style="754" customWidth="1"/>
    <col min="6657" max="6662" width="12.7109375" style="754" customWidth="1"/>
    <col min="6663" max="6663" width="13" style="754" customWidth="1"/>
    <col min="6664" max="6665" width="12.7109375" style="754" customWidth="1"/>
    <col min="6666" max="6666" width="9.140625" style="754"/>
    <col min="6667" max="6667" width="11.140625" style="754" bestFit="1" customWidth="1"/>
    <col min="6668" max="6906" width="9.140625" style="754"/>
    <col min="6907" max="6907" width="4" style="754" customWidth="1"/>
    <col min="6908" max="6908" width="30.7109375" style="754" customWidth="1"/>
    <col min="6909" max="6910" width="10" style="754" customWidth="1"/>
    <col min="6911" max="6911" width="9.85546875" style="754" customWidth="1"/>
    <col min="6912" max="6912" width="12.42578125" style="754" customWidth="1"/>
    <col min="6913" max="6918" width="12.7109375" style="754" customWidth="1"/>
    <col min="6919" max="6919" width="13" style="754" customWidth="1"/>
    <col min="6920" max="6921" width="12.7109375" style="754" customWidth="1"/>
    <col min="6922" max="6922" width="9.140625" style="754"/>
    <col min="6923" max="6923" width="11.140625" style="754" bestFit="1" customWidth="1"/>
    <col min="6924" max="7162" width="9.140625" style="754"/>
    <col min="7163" max="7163" width="4" style="754" customWidth="1"/>
    <col min="7164" max="7164" width="30.7109375" style="754" customWidth="1"/>
    <col min="7165" max="7166" width="10" style="754" customWidth="1"/>
    <col min="7167" max="7167" width="9.85546875" style="754" customWidth="1"/>
    <col min="7168" max="7168" width="12.42578125" style="754" customWidth="1"/>
    <col min="7169" max="7174" width="12.7109375" style="754" customWidth="1"/>
    <col min="7175" max="7175" width="13" style="754" customWidth="1"/>
    <col min="7176" max="7177" width="12.7109375" style="754" customWidth="1"/>
    <col min="7178" max="7178" width="9.140625" style="754"/>
    <col min="7179" max="7179" width="11.140625" style="754" bestFit="1" customWidth="1"/>
    <col min="7180" max="7418" width="9.140625" style="754"/>
    <col min="7419" max="7419" width="4" style="754" customWidth="1"/>
    <col min="7420" max="7420" width="30.7109375" style="754" customWidth="1"/>
    <col min="7421" max="7422" width="10" style="754" customWidth="1"/>
    <col min="7423" max="7423" width="9.85546875" style="754" customWidth="1"/>
    <col min="7424" max="7424" width="12.42578125" style="754" customWidth="1"/>
    <col min="7425" max="7430" width="12.7109375" style="754" customWidth="1"/>
    <col min="7431" max="7431" width="13" style="754" customWidth="1"/>
    <col min="7432" max="7433" width="12.7109375" style="754" customWidth="1"/>
    <col min="7434" max="7434" width="9.140625" style="754"/>
    <col min="7435" max="7435" width="11.140625" style="754" bestFit="1" customWidth="1"/>
    <col min="7436" max="7674" width="9.140625" style="754"/>
    <col min="7675" max="7675" width="4" style="754" customWidth="1"/>
    <col min="7676" max="7676" width="30.7109375" style="754" customWidth="1"/>
    <col min="7677" max="7678" width="10" style="754" customWidth="1"/>
    <col min="7679" max="7679" width="9.85546875" style="754" customWidth="1"/>
    <col min="7680" max="7680" width="12.42578125" style="754" customWidth="1"/>
    <col min="7681" max="7686" width="12.7109375" style="754" customWidth="1"/>
    <col min="7687" max="7687" width="13" style="754" customWidth="1"/>
    <col min="7688" max="7689" width="12.7109375" style="754" customWidth="1"/>
    <col min="7690" max="7690" width="9.140625" style="754"/>
    <col min="7691" max="7691" width="11.140625" style="754" bestFit="1" customWidth="1"/>
    <col min="7692" max="7930" width="9.140625" style="754"/>
    <col min="7931" max="7931" width="4" style="754" customWidth="1"/>
    <col min="7932" max="7932" width="30.7109375" style="754" customWidth="1"/>
    <col min="7933" max="7934" width="10" style="754" customWidth="1"/>
    <col min="7935" max="7935" width="9.85546875" style="754" customWidth="1"/>
    <col min="7936" max="7936" width="12.42578125" style="754" customWidth="1"/>
    <col min="7937" max="7942" width="12.7109375" style="754" customWidth="1"/>
    <col min="7943" max="7943" width="13" style="754" customWidth="1"/>
    <col min="7944" max="7945" width="12.7109375" style="754" customWidth="1"/>
    <col min="7946" max="7946" width="9.140625" style="754"/>
    <col min="7947" max="7947" width="11.140625" style="754" bestFit="1" customWidth="1"/>
    <col min="7948" max="8186" width="9.140625" style="754"/>
    <col min="8187" max="8187" width="4" style="754" customWidth="1"/>
    <col min="8188" max="8188" width="30.7109375" style="754" customWidth="1"/>
    <col min="8189" max="8190" width="10" style="754" customWidth="1"/>
    <col min="8191" max="8191" width="9.85546875" style="754" customWidth="1"/>
    <col min="8192" max="8192" width="12.42578125" style="754" customWidth="1"/>
    <col min="8193" max="8198" width="12.7109375" style="754" customWidth="1"/>
    <col min="8199" max="8199" width="13" style="754" customWidth="1"/>
    <col min="8200" max="8201" width="12.7109375" style="754" customWidth="1"/>
    <col min="8202" max="8202" width="9.140625" style="754"/>
    <col min="8203" max="8203" width="11.140625" style="754" bestFit="1" customWidth="1"/>
    <col min="8204" max="8442" width="9.140625" style="754"/>
    <col min="8443" max="8443" width="4" style="754" customWidth="1"/>
    <col min="8444" max="8444" width="30.7109375" style="754" customWidth="1"/>
    <col min="8445" max="8446" width="10" style="754" customWidth="1"/>
    <col min="8447" max="8447" width="9.85546875" style="754" customWidth="1"/>
    <col min="8448" max="8448" width="12.42578125" style="754" customWidth="1"/>
    <col min="8449" max="8454" width="12.7109375" style="754" customWidth="1"/>
    <col min="8455" max="8455" width="13" style="754" customWidth="1"/>
    <col min="8456" max="8457" width="12.7109375" style="754" customWidth="1"/>
    <col min="8458" max="8458" width="9.140625" style="754"/>
    <col min="8459" max="8459" width="11.140625" style="754" bestFit="1" customWidth="1"/>
    <col min="8460" max="8698" width="9.140625" style="754"/>
    <col min="8699" max="8699" width="4" style="754" customWidth="1"/>
    <col min="8700" max="8700" width="30.7109375" style="754" customWidth="1"/>
    <col min="8701" max="8702" width="10" style="754" customWidth="1"/>
    <col min="8703" max="8703" width="9.85546875" style="754" customWidth="1"/>
    <col min="8704" max="8704" width="12.42578125" style="754" customWidth="1"/>
    <col min="8705" max="8710" width="12.7109375" style="754" customWidth="1"/>
    <col min="8711" max="8711" width="13" style="754" customWidth="1"/>
    <col min="8712" max="8713" width="12.7109375" style="754" customWidth="1"/>
    <col min="8714" max="8714" width="9.140625" style="754"/>
    <col min="8715" max="8715" width="11.140625" style="754" bestFit="1" customWidth="1"/>
    <col min="8716" max="8954" width="9.140625" style="754"/>
    <col min="8955" max="8955" width="4" style="754" customWidth="1"/>
    <col min="8956" max="8956" width="30.7109375" style="754" customWidth="1"/>
    <col min="8957" max="8958" width="10" style="754" customWidth="1"/>
    <col min="8959" max="8959" width="9.85546875" style="754" customWidth="1"/>
    <col min="8960" max="8960" width="12.42578125" style="754" customWidth="1"/>
    <col min="8961" max="8966" width="12.7109375" style="754" customWidth="1"/>
    <col min="8967" max="8967" width="13" style="754" customWidth="1"/>
    <col min="8968" max="8969" width="12.7109375" style="754" customWidth="1"/>
    <col min="8970" max="8970" width="9.140625" style="754"/>
    <col min="8971" max="8971" width="11.140625" style="754" bestFit="1" customWidth="1"/>
    <col min="8972" max="9210" width="9.140625" style="754"/>
    <col min="9211" max="9211" width="4" style="754" customWidth="1"/>
    <col min="9212" max="9212" width="30.7109375" style="754" customWidth="1"/>
    <col min="9213" max="9214" width="10" style="754" customWidth="1"/>
    <col min="9215" max="9215" width="9.85546875" style="754" customWidth="1"/>
    <col min="9216" max="9216" width="12.42578125" style="754" customWidth="1"/>
    <col min="9217" max="9222" width="12.7109375" style="754" customWidth="1"/>
    <col min="9223" max="9223" width="13" style="754" customWidth="1"/>
    <col min="9224" max="9225" width="12.7109375" style="754" customWidth="1"/>
    <col min="9226" max="9226" width="9.140625" style="754"/>
    <col min="9227" max="9227" width="11.140625" style="754" bestFit="1" customWidth="1"/>
    <col min="9228" max="9466" width="9.140625" style="754"/>
    <col min="9467" max="9467" width="4" style="754" customWidth="1"/>
    <col min="9468" max="9468" width="30.7109375" style="754" customWidth="1"/>
    <col min="9469" max="9470" width="10" style="754" customWidth="1"/>
    <col min="9471" max="9471" width="9.85546875" style="754" customWidth="1"/>
    <col min="9472" max="9472" width="12.42578125" style="754" customWidth="1"/>
    <col min="9473" max="9478" width="12.7109375" style="754" customWidth="1"/>
    <col min="9479" max="9479" width="13" style="754" customWidth="1"/>
    <col min="9480" max="9481" width="12.7109375" style="754" customWidth="1"/>
    <col min="9482" max="9482" width="9.140625" style="754"/>
    <col min="9483" max="9483" width="11.140625" style="754" bestFit="1" customWidth="1"/>
    <col min="9484" max="9722" width="9.140625" style="754"/>
    <col min="9723" max="9723" width="4" style="754" customWidth="1"/>
    <col min="9724" max="9724" width="30.7109375" style="754" customWidth="1"/>
    <col min="9725" max="9726" width="10" style="754" customWidth="1"/>
    <col min="9727" max="9727" width="9.85546875" style="754" customWidth="1"/>
    <col min="9728" max="9728" width="12.42578125" style="754" customWidth="1"/>
    <col min="9729" max="9734" width="12.7109375" style="754" customWidth="1"/>
    <col min="9735" max="9735" width="13" style="754" customWidth="1"/>
    <col min="9736" max="9737" width="12.7109375" style="754" customWidth="1"/>
    <col min="9738" max="9738" width="9.140625" style="754"/>
    <col min="9739" max="9739" width="11.140625" style="754" bestFit="1" customWidth="1"/>
    <col min="9740" max="9978" width="9.140625" style="754"/>
    <col min="9979" max="9979" width="4" style="754" customWidth="1"/>
    <col min="9980" max="9980" width="30.7109375" style="754" customWidth="1"/>
    <col min="9981" max="9982" width="10" style="754" customWidth="1"/>
    <col min="9983" max="9983" width="9.85546875" style="754" customWidth="1"/>
    <col min="9984" max="9984" width="12.42578125" style="754" customWidth="1"/>
    <col min="9985" max="9990" width="12.7109375" style="754" customWidth="1"/>
    <col min="9991" max="9991" width="13" style="754" customWidth="1"/>
    <col min="9992" max="9993" width="12.7109375" style="754" customWidth="1"/>
    <col min="9994" max="9994" width="9.140625" style="754"/>
    <col min="9995" max="9995" width="11.140625" style="754" bestFit="1" customWidth="1"/>
    <col min="9996" max="10234" width="9.140625" style="754"/>
    <col min="10235" max="10235" width="4" style="754" customWidth="1"/>
    <col min="10236" max="10236" width="30.7109375" style="754" customWidth="1"/>
    <col min="10237" max="10238" width="10" style="754" customWidth="1"/>
    <col min="10239" max="10239" width="9.85546875" style="754" customWidth="1"/>
    <col min="10240" max="10240" width="12.42578125" style="754" customWidth="1"/>
    <col min="10241" max="10246" width="12.7109375" style="754" customWidth="1"/>
    <col min="10247" max="10247" width="13" style="754" customWidth="1"/>
    <col min="10248" max="10249" width="12.7109375" style="754" customWidth="1"/>
    <col min="10250" max="10250" width="9.140625" style="754"/>
    <col min="10251" max="10251" width="11.140625" style="754" bestFit="1" customWidth="1"/>
    <col min="10252" max="10490" width="9.140625" style="754"/>
    <col min="10491" max="10491" width="4" style="754" customWidth="1"/>
    <col min="10492" max="10492" width="30.7109375" style="754" customWidth="1"/>
    <col min="10493" max="10494" width="10" style="754" customWidth="1"/>
    <col min="10495" max="10495" width="9.85546875" style="754" customWidth="1"/>
    <col min="10496" max="10496" width="12.42578125" style="754" customWidth="1"/>
    <col min="10497" max="10502" width="12.7109375" style="754" customWidth="1"/>
    <col min="10503" max="10503" width="13" style="754" customWidth="1"/>
    <col min="10504" max="10505" width="12.7109375" style="754" customWidth="1"/>
    <col min="10506" max="10506" width="9.140625" style="754"/>
    <col min="10507" max="10507" width="11.140625" style="754" bestFit="1" customWidth="1"/>
    <col min="10508" max="10746" width="9.140625" style="754"/>
    <col min="10747" max="10747" width="4" style="754" customWidth="1"/>
    <col min="10748" max="10748" width="30.7109375" style="754" customWidth="1"/>
    <col min="10749" max="10750" width="10" style="754" customWidth="1"/>
    <col min="10751" max="10751" width="9.85546875" style="754" customWidth="1"/>
    <col min="10752" max="10752" width="12.42578125" style="754" customWidth="1"/>
    <col min="10753" max="10758" width="12.7109375" style="754" customWidth="1"/>
    <col min="10759" max="10759" width="13" style="754" customWidth="1"/>
    <col min="10760" max="10761" width="12.7109375" style="754" customWidth="1"/>
    <col min="10762" max="10762" width="9.140625" style="754"/>
    <col min="10763" max="10763" width="11.140625" style="754" bestFit="1" customWidth="1"/>
    <col min="10764" max="11002" width="9.140625" style="754"/>
    <col min="11003" max="11003" width="4" style="754" customWidth="1"/>
    <col min="11004" max="11004" width="30.7109375" style="754" customWidth="1"/>
    <col min="11005" max="11006" width="10" style="754" customWidth="1"/>
    <col min="11007" max="11007" width="9.85546875" style="754" customWidth="1"/>
    <col min="11008" max="11008" width="12.42578125" style="754" customWidth="1"/>
    <col min="11009" max="11014" width="12.7109375" style="754" customWidth="1"/>
    <col min="11015" max="11015" width="13" style="754" customWidth="1"/>
    <col min="11016" max="11017" width="12.7109375" style="754" customWidth="1"/>
    <col min="11018" max="11018" width="9.140625" style="754"/>
    <col min="11019" max="11019" width="11.140625" style="754" bestFit="1" customWidth="1"/>
    <col min="11020" max="11258" width="9.140625" style="754"/>
    <col min="11259" max="11259" width="4" style="754" customWidth="1"/>
    <col min="11260" max="11260" width="30.7109375" style="754" customWidth="1"/>
    <col min="11261" max="11262" width="10" style="754" customWidth="1"/>
    <col min="11263" max="11263" width="9.85546875" style="754" customWidth="1"/>
    <col min="11264" max="11264" width="12.42578125" style="754" customWidth="1"/>
    <col min="11265" max="11270" width="12.7109375" style="754" customWidth="1"/>
    <col min="11271" max="11271" width="13" style="754" customWidth="1"/>
    <col min="11272" max="11273" width="12.7109375" style="754" customWidth="1"/>
    <col min="11274" max="11274" width="9.140625" style="754"/>
    <col min="11275" max="11275" width="11.140625" style="754" bestFit="1" customWidth="1"/>
    <col min="11276" max="11514" width="9.140625" style="754"/>
    <col min="11515" max="11515" width="4" style="754" customWidth="1"/>
    <col min="11516" max="11516" width="30.7109375" style="754" customWidth="1"/>
    <col min="11517" max="11518" width="10" style="754" customWidth="1"/>
    <col min="11519" max="11519" width="9.85546875" style="754" customWidth="1"/>
    <col min="11520" max="11520" width="12.42578125" style="754" customWidth="1"/>
    <col min="11521" max="11526" width="12.7109375" style="754" customWidth="1"/>
    <col min="11527" max="11527" width="13" style="754" customWidth="1"/>
    <col min="11528" max="11529" width="12.7109375" style="754" customWidth="1"/>
    <col min="11530" max="11530" width="9.140625" style="754"/>
    <col min="11531" max="11531" width="11.140625" style="754" bestFit="1" customWidth="1"/>
    <col min="11532" max="11770" width="9.140625" style="754"/>
    <col min="11771" max="11771" width="4" style="754" customWidth="1"/>
    <col min="11772" max="11772" width="30.7109375" style="754" customWidth="1"/>
    <col min="11773" max="11774" width="10" style="754" customWidth="1"/>
    <col min="11775" max="11775" width="9.85546875" style="754" customWidth="1"/>
    <col min="11776" max="11776" width="12.42578125" style="754" customWidth="1"/>
    <col min="11777" max="11782" width="12.7109375" style="754" customWidth="1"/>
    <col min="11783" max="11783" width="13" style="754" customWidth="1"/>
    <col min="11784" max="11785" width="12.7109375" style="754" customWidth="1"/>
    <col min="11786" max="11786" width="9.140625" style="754"/>
    <col min="11787" max="11787" width="11.140625" style="754" bestFit="1" customWidth="1"/>
    <col min="11788" max="12026" width="9.140625" style="754"/>
    <col min="12027" max="12027" width="4" style="754" customWidth="1"/>
    <col min="12028" max="12028" width="30.7109375" style="754" customWidth="1"/>
    <col min="12029" max="12030" width="10" style="754" customWidth="1"/>
    <col min="12031" max="12031" width="9.85546875" style="754" customWidth="1"/>
    <col min="12032" max="12032" width="12.42578125" style="754" customWidth="1"/>
    <col min="12033" max="12038" width="12.7109375" style="754" customWidth="1"/>
    <col min="12039" max="12039" width="13" style="754" customWidth="1"/>
    <col min="12040" max="12041" width="12.7109375" style="754" customWidth="1"/>
    <col min="12042" max="12042" width="9.140625" style="754"/>
    <col min="12043" max="12043" width="11.140625" style="754" bestFit="1" customWidth="1"/>
    <col min="12044" max="12282" width="9.140625" style="754"/>
    <col min="12283" max="12283" width="4" style="754" customWidth="1"/>
    <col min="12284" max="12284" width="30.7109375" style="754" customWidth="1"/>
    <col min="12285" max="12286" width="10" style="754" customWidth="1"/>
    <col min="12287" max="12287" width="9.85546875" style="754" customWidth="1"/>
    <col min="12288" max="12288" width="12.42578125" style="754" customWidth="1"/>
    <col min="12289" max="12294" width="12.7109375" style="754" customWidth="1"/>
    <col min="12295" max="12295" width="13" style="754" customWidth="1"/>
    <col min="12296" max="12297" width="12.7109375" style="754" customWidth="1"/>
    <col min="12298" max="12298" width="9.140625" style="754"/>
    <col min="12299" max="12299" width="11.140625" style="754" bestFit="1" customWidth="1"/>
    <col min="12300" max="12538" width="9.140625" style="754"/>
    <col min="12539" max="12539" width="4" style="754" customWidth="1"/>
    <col min="12540" max="12540" width="30.7109375" style="754" customWidth="1"/>
    <col min="12541" max="12542" width="10" style="754" customWidth="1"/>
    <col min="12543" max="12543" width="9.85546875" style="754" customWidth="1"/>
    <col min="12544" max="12544" width="12.42578125" style="754" customWidth="1"/>
    <col min="12545" max="12550" width="12.7109375" style="754" customWidth="1"/>
    <col min="12551" max="12551" width="13" style="754" customWidth="1"/>
    <col min="12552" max="12553" width="12.7109375" style="754" customWidth="1"/>
    <col min="12554" max="12554" width="9.140625" style="754"/>
    <col min="12555" max="12555" width="11.140625" style="754" bestFit="1" customWidth="1"/>
    <col min="12556" max="12794" width="9.140625" style="754"/>
    <col min="12795" max="12795" width="4" style="754" customWidth="1"/>
    <col min="12796" max="12796" width="30.7109375" style="754" customWidth="1"/>
    <col min="12797" max="12798" width="10" style="754" customWidth="1"/>
    <col min="12799" max="12799" width="9.85546875" style="754" customWidth="1"/>
    <col min="12800" max="12800" width="12.42578125" style="754" customWidth="1"/>
    <col min="12801" max="12806" width="12.7109375" style="754" customWidth="1"/>
    <col min="12807" max="12807" width="13" style="754" customWidth="1"/>
    <col min="12808" max="12809" width="12.7109375" style="754" customWidth="1"/>
    <col min="12810" max="12810" width="9.140625" style="754"/>
    <col min="12811" max="12811" width="11.140625" style="754" bestFit="1" customWidth="1"/>
    <col min="12812" max="13050" width="9.140625" style="754"/>
    <col min="13051" max="13051" width="4" style="754" customWidth="1"/>
    <col min="13052" max="13052" width="30.7109375" style="754" customWidth="1"/>
    <col min="13053" max="13054" width="10" style="754" customWidth="1"/>
    <col min="13055" max="13055" width="9.85546875" style="754" customWidth="1"/>
    <col min="13056" max="13056" width="12.42578125" style="754" customWidth="1"/>
    <col min="13057" max="13062" width="12.7109375" style="754" customWidth="1"/>
    <col min="13063" max="13063" width="13" style="754" customWidth="1"/>
    <col min="13064" max="13065" width="12.7109375" style="754" customWidth="1"/>
    <col min="13066" max="13066" width="9.140625" style="754"/>
    <col min="13067" max="13067" width="11.140625" style="754" bestFit="1" customWidth="1"/>
    <col min="13068" max="13306" width="9.140625" style="754"/>
    <col min="13307" max="13307" width="4" style="754" customWidth="1"/>
    <col min="13308" max="13308" width="30.7109375" style="754" customWidth="1"/>
    <col min="13309" max="13310" width="10" style="754" customWidth="1"/>
    <col min="13311" max="13311" width="9.85546875" style="754" customWidth="1"/>
    <col min="13312" max="13312" width="12.42578125" style="754" customWidth="1"/>
    <col min="13313" max="13318" width="12.7109375" style="754" customWidth="1"/>
    <col min="13319" max="13319" width="13" style="754" customWidth="1"/>
    <col min="13320" max="13321" width="12.7109375" style="754" customWidth="1"/>
    <col min="13322" max="13322" width="9.140625" style="754"/>
    <col min="13323" max="13323" width="11.140625" style="754" bestFit="1" customWidth="1"/>
    <col min="13324" max="13562" width="9.140625" style="754"/>
    <col min="13563" max="13563" width="4" style="754" customWidth="1"/>
    <col min="13564" max="13564" width="30.7109375" style="754" customWidth="1"/>
    <col min="13565" max="13566" width="10" style="754" customWidth="1"/>
    <col min="13567" max="13567" width="9.85546875" style="754" customWidth="1"/>
    <col min="13568" max="13568" width="12.42578125" style="754" customWidth="1"/>
    <col min="13569" max="13574" width="12.7109375" style="754" customWidth="1"/>
    <col min="13575" max="13575" width="13" style="754" customWidth="1"/>
    <col min="13576" max="13577" width="12.7109375" style="754" customWidth="1"/>
    <col min="13578" max="13578" width="9.140625" style="754"/>
    <col min="13579" max="13579" width="11.140625" style="754" bestFit="1" customWidth="1"/>
    <col min="13580" max="13818" width="9.140625" style="754"/>
    <col min="13819" max="13819" width="4" style="754" customWidth="1"/>
    <col min="13820" max="13820" width="30.7109375" style="754" customWidth="1"/>
    <col min="13821" max="13822" width="10" style="754" customWidth="1"/>
    <col min="13823" max="13823" width="9.85546875" style="754" customWidth="1"/>
    <col min="13824" max="13824" width="12.42578125" style="754" customWidth="1"/>
    <col min="13825" max="13830" width="12.7109375" style="754" customWidth="1"/>
    <col min="13831" max="13831" width="13" style="754" customWidth="1"/>
    <col min="13832" max="13833" width="12.7109375" style="754" customWidth="1"/>
    <col min="13834" max="13834" width="9.140625" style="754"/>
    <col min="13835" max="13835" width="11.140625" style="754" bestFit="1" customWidth="1"/>
    <col min="13836" max="14074" width="9.140625" style="754"/>
    <col min="14075" max="14075" width="4" style="754" customWidth="1"/>
    <col min="14076" max="14076" width="30.7109375" style="754" customWidth="1"/>
    <col min="14077" max="14078" width="10" style="754" customWidth="1"/>
    <col min="14079" max="14079" width="9.85546875" style="754" customWidth="1"/>
    <col min="14080" max="14080" width="12.42578125" style="754" customWidth="1"/>
    <col min="14081" max="14086" width="12.7109375" style="754" customWidth="1"/>
    <col min="14087" max="14087" width="13" style="754" customWidth="1"/>
    <col min="14088" max="14089" width="12.7109375" style="754" customWidth="1"/>
    <col min="14090" max="14090" width="9.140625" style="754"/>
    <col min="14091" max="14091" width="11.140625" style="754" bestFit="1" customWidth="1"/>
    <col min="14092" max="14330" width="9.140625" style="754"/>
    <col min="14331" max="14331" width="4" style="754" customWidth="1"/>
    <col min="14332" max="14332" width="30.7109375" style="754" customWidth="1"/>
    <col min="14333" max="14334" width="10" style="754" customWidth="1"/>
    <col min="14335" max="14335" width="9.85546875" style="754" customWidth="1"/>
    <col min="14336" max="14336" width="12.42578125" style="754" customWidth="1"/>
    <col min="14337" max="14342" width="12.7109375" style="754" customWidth="1"/>
    <col min="14343" max="14343" width="13" style="754" customWidth="1"/>
    <col min="14344" max="14345" width="12.7109375" style="754" customWidth="1"/>
    <col min="14346" max="14346" width="9.140625" style="754"/>
    <col min="14347" max="14347" width="11.140625" style="754" bestFit="1" customWidth="1"/>
    <col min="14348" max="14586" width="9.140625" style="754"/>
    <col min="14587" max="14587" width="4" style="754" customWidth="1"/>
    <col min="14588" max="14588" width="30.7109375" style="754" customWidth="1"/>
    <col min="14589" max="14590" width="10" style="754" customWidth="1"/>
    <col min="14591" max="14591" width="9.85546875" style="754" customWidth="1"/>
    <col min="14592" max="14592" width="12.42578125" style="754" customWidth="1"/>
    <col min="14593" max="14598" width="12.7109375" style="754" customWidth="1"/>
    <col min="14599" max="14599" width="13" style="754" customWidth="1"/>
    <col min="14600" max="14601" width="12.7109375" style="754" customWidth="1"/>
    <col min="14602" max="14602" width="9.140625" style="754"/>
    <col min="14603" max="14603" width="11.140625" style="754" bestFit="1" customWidth="1"/>
    <col min="14604" max="14842" width="9.140625" style="754"/>
    <col min="14843" max="14843" width="4" style="754" customWidth="1"/>
    <col min="14844" max="14844" width="30.7109375" style="754" customWidth="1"/>
    <col min="14845" max="14846" width="10" style="754" customWidth="1"/>
    <col min="14847" max="14847" width="9.85546875" style="754" customWidth="1"/>
    <col min="14848" max="14848" width="12.42578125" style="754" customWidth="1"/>
    <col min="14849" max="14854" width="12.7109375" style="754" customWidth="1"/>
    <col min="14855" max="14855" width="13" style="754" customWidth="1"/>
    <col min="14856" max="14857" width="12.7109375" style="754" customWidth="1"/>
    <col min="14858" max="14858" width="9.140625" style="754"/>
    <col min="14859" max="14859" width="11.140625" style="754" bestFit="1" customWidth="1"/>
    <col min="14860" max="15098" width="9.140625" style="754"/>
    <col min="15099" max="15099" width="4" style="754" customWidth="1"/>
    <col min="15100" max="15100" width="30.7109375" style="754" customWidth="1"/>
    <col min="15101" max="15102" width="10" style="754" customWidth="1"/>
    <col min="15103" max="15103" width="9.85546875" style="754" customWidth="1"/>
    <col min="15104" max="15104" width="12.42578125" style="754" customWidth="1"/>
    <col min="15105" max="15110" width="12.7109375" style="754" customWidth="1"/>
    <col min="15111" max="15111" width="13" style="754" customWidth="1"/>
    <col min="15112" max="15113" width="12.7109375" style="754" customWidth="1"/>
    <col min="15114" max="15114" width="9.140625" style="754"/>
    <col min="15115" max="15115" width="11.140625" style="754" bestFit="1" customWidth="1"/>
    <col min="15116" max="15354" width="9.140625" style="754"/>
    <col min="15355" max="15355" width="4" style="754" customWidth="1"/>
    <col min="15356" max="15356" width="30.7109375" style="754" customWidth="1"/>
    <col min="15357" max="15358" width="10" style="754" customWidth="1"/>
    <col min="15359" max="15359" width="9.85546875" style="754" customWidth="1"/>
    <col min="15360" max="15360" width="12.42578125" style="754" customWidth="1"/>
    <col min="15361" max="15366" width="12.7109375" style="754" customWidth="1"/>
    <col min="15367" max="15367" width="13" style="754" customWidth="1"/>
    <col min="15368" max="15369" width="12.7109375" style="754" customWidth="1"/>
    <col min="15370" max="15370" width="9.140625" style="754"/>
    <col min="15371" max="15371" width="11.140625" style="754" bestFit="1" customWidth="1"/>
    <col min="15372" max="15610" width="9.140625" style="754"/>
    <col min="15611" max="15611" width="4" style="754" customWidth="1"/>
    <col min="15612" max="15612" width="30.7109375" style="754" customWidth="1"/>
    <col min="15613" max="15614" width="10" style="754" customWidth="1"/>
    <col min="15615" max="15615" width="9.85546875" style="754" customWidth="1"/>
    <col min="15616" max="15616" width="12.42578125" style="754" customWidth="1"/>
    <col min="15617" max="15622" width="12.7109375" style="754" customWidth="1"/>
    <col min="15623" max="15623" width="13" style="754" customWidth="1"/>
    <col min="15624" max="15625" width="12.7109375" style="754" customWidth="1"/>
    <col min="15626" max="15626" width="9.140625" style="754"/>
    <col min="15627" max="15627" width="11.140625" style="754" bestFit="1" customWidth="1"/>
    <col min="15628" max="15866" width="9.140625" style="754"/>
    <col min="15867" max="15867" width="4" style="754" customWidth="1"/>
    <col min="15868" max="15868" width="30.7109375" style="754" customWidth="1"/>
    <col min="15869" max="15870" width="10" style="754" customWidth="1"/>
    <col min="15871" max="15871" width="9.85546875" style="754" customWidth="1"/>
    <col min="15872" max="15872" width="12.42578125" style="754" customWidth="1"/>
    <col min="15873" max="15878" width="12.7109375" style="754" customWidth="1"/>
    <col min="15879" max="15879" width="13" style="754" customWidth="1"/>
    <col min="15880" max="15881" width="12.7109375" style="754" customWidth="1"/>
    <col min="15882" max="15882" width="9.140625" style="754"/>
    <col min="15883" max="15883" width="11.140625" style="754" bestFit="1" customWidth="1"/>
    <col min="15884" max="16122" width="9.140625" style="754"/>
    <col min="16123" max="16123" width="4" style="754" customWidth="1"/>
    <col min="16124" max="16124" width="30.7109375" style="754" customWidth="1"/>
    <col min="16125" max="16126" width="10" style="754" customWidth="1"/>
    <col min="16127" max="16127" width="9.85546875" style="754" customWidth="1"/>
    <col min="16128" max="16128" width="12.42578125" style="754" customWidth="1"/>
    <col min="16129" max="16134" width="12.7109375" style="754" customWidth="1"/>
    <col min="16135" max="16135" width="13" style="754" customWidth="1"/>
    <col min="16136" max="16137" width="12.7109375" style="754" customWidth="1"/>
    <col min="16138" max="16138" width="9.140625" style="754"/>
    <col min="16139" max="16139" width="11.140625" style="754" bestFit="1" customWidth="1"/>
    <col min="16140" max="16384" width="9.140625" style="754"/>
  </cols>
  <sheetData>
    <row r="1" spans="1:16" s="750" customFormat="1" ht="13.5" thickBot="1">
      <c r="A1" s="750" t="s">
        <v>15</v>
      </c>
      <c r="B1" s="751"/>
    </row>
    <row r="2" spans="1:16" ht="23.25" thickBot="1">
      <c r="A2" s="1924" t="s">
        <v>16</v>
      </c>
      <c r="B2" s="1925"/>
      <c r="C2" s="1925"/>
      <c r="D2" s="1925"/>
      <c r="E2" s="1925"/>
      <c r="F2" s="1925"/>
      <c r="G2" s="1925"/>
      <c r="H2" s="1925"/>
      <c r="I2" s="1925"/>
      <c r="J2" s="752"/>
      <c r="K2" s="753"/>
    </row>
    <row r="3" spans="1:16" ht="16.5" thickBot="1">
      <c r="A3" s="1926" t="s">
        <v>17</v>
      </c>
      <c r="B3" s="1927"/>
      <c r="C3" s="1927"/>
      <c r="D3" s="1927"/>
      <c r="E3" s="1927"/>
      <c r="F3" s="1927"/>
      <c r="G3" s="1927"/>
      <c r="H3" s="1927"/>
      <c r="I3" s="1927"/>
      <c r="J3" s="755"/>
      <c r="K3" s="756"/>
    </row>
    <row r="4" spans="1:16" ht="25.5">
      <c r="A4" s="757" t="s">
        <v>18</v>
      </c>
      <c r="B4" s="758"/>
      <c r="C4" s="759" t="s">
        <v>19</v>
      </c>
      <c r="D4" s="760"/>
      <c r="E4" s="1928" t="s">
        <v>20</v>
      </c>
      <c r="F4" s="761" t="s">
        <v>21</v>
      </c>
      <c r="G4" s="762">
        <f>I19-G19</f>
        <v>24900.125</v>
      </c>
      <c r="H4" s="763"/>
      <c r="I4" s="764"/>
      <c r="J4" s="763" t="s">
        <v>22</v>
      </c>
      <c r="K4" s="764" t="s">
        <v>23</v>
      </c>
    </row>
    <row r="5" spans="1:16" ht="26.25" thickBot="1">
      <c r="A5" s="765" t="s">
        <v>26</v>
      </c>
      <c r="B5" s="766"/>
      <c r="C5" s="767" t="s">
        <v>27</v>
      </c>
      <c r="D5" s="768"/>
      <c r="E5" s="1929"/>
      <c r="F5" s="769" t="s">
        <v>28</v>
      </c>
      <c r="G5" s="762" t="s">
        <v>0</v>
      </c>
      <c r="H5" s="770"/>
      <c r="I5" s="771"/>
      <c r="J5" s="770" t="s">
        <v>29</v>
      </c>
      <c r="K5" s="771"/>
      <c r="L5" s="771" t="s">
        <v>18</v>
      </c>
      <c r="M5" s="771" t="s">
        <v>31</v>
      </c>
    </row>
    <row r="6" spans="1:16" ht="13.5" thickBot="1">
      <c r="A6" s="772"/>
      <c r="B6" s="773"/>
      <c r="D6" s="774"/>
      <c r="E6" s="355"/>
      <c r="F6" s="775"/>
      <c r="G6" s="774"/>
      <c r="H6" s="775"/>
      <c r="I6" s="774"/>
      <c r="J6" s="775"/>
      <c r="K6" s="774"/>
    </row>
    <row r="7" spans="1:16" ht="31.5" customHeight="1" thickBot="1">
      <c r="A7" s="1930" t="s">
        <v>32</v>
      </c>
      <c r="B7" s="1932" t="s">
        <v>33</v>
      </c>
      <c r="C7" s="1932" t="s">
        <v>34</v>
      </c>
      <c r="D7" s="1937" t="s">
        <v>35</v>
      </c>
      <c r="E7" s="1836" t="s">
        <v>36</v>
      </c>
      <c r="F7" s="1939" t="s">
        <v>1281</v>
      </c>
      <c r="G7" s="1916"/>
      <c r="H7" s="1910" t="s">
        <v>1374</v>
      </c>
      <c r="I7" s="1911"/>
      <c r="J7" s="1910"/>
      <c r="K7" s="1911"/>
    </row>
    <row r="8" spans="1:16" ht="19.5" customHeight="1">
      <c r="A8" s="1931"/>
      <c r="B8" s="1933"/>
      <c r="C8" s="1935"/>
      <c r="D8" s="1938"/>
      <c r="E8" s="1837"/>
      <c r="F8" s="1912" t="s">
        <v>1375</v>
      </c>
      <c r="G8" s="1912"/>
      <c r="H8" s="1913" t="s">
        <v>1376</v>
      </c>
      <c r="I8" s="1914"/>
      <c r="J8" s="1913"/>
      <c r="K8" s="1914"/>
    </row>
    <row r="9" spans="1:16" ht="21.75" customHeight="1" thickBot="1">
      <c r="A9" s="1931"/>
      <c r="B9" s="1933"/>
      <c r="C9" s="1935"/>
      <c r="D9" s="1938"/>
      <c r="E9" s="1837"/>
      <c r="F9" s="1912"/>
      <c r="G9" s="1912"/>
      <c r="H9" s="1913"/>
      <c r="I9" s="1914"/>
      <c r="J9" s="1913"/>
      <c r="K9" s="1914"/>
      <c r="L9" s="776"/>
    </row>
    <row r="10" spans="1:16" ht="39" customHeight="1" thickBot="1">
      <c r="A10" s="1931"/>
      <c r="B10" s="1933"/>
      <c r="C10" s="1935"/>
      <c r="D10" s="1938"/>
      <c r="E10" s="1837"/>
      <c r="F10" s="1915" t="s">
        <v>1377</v>
      </c>
      <c r="G10" s="1916"/>
      <c r="H10" s="1917" t="s">
        <v>1378</v>
      </c>
      <c r="I10" s="1918"/>
      <c r="J10" s="1917"/>
      <c r="K10" s="1918"/>
    </row>
    <row r="11" spans="1:16" ht="13.5" thickBot="1">
      <c r="A11" s="1931"/>
      <c r="B11" s="1933"/>
      <c r="C11" s="1935"/>
      <c r="D11" s="1938"/>
      <c r="E11" s="1837"/>
      <c r="F11" s="1919" t="s">
        <v>46</v>
      </c>
      <c r="G11" s="1920"/>
      <c r="H11" s="1919" t="s">
        <v>46</v>
      </c>
      <c r="I11" s="1921"/>
      <c r="J11" s="1919" t="s">
        <v>46</v>
      </c>
      <c r="K11" s="1921"/>
      <c r="L11" s="776"/>
    </row>
    <row r="12" spans="1:16" ht="13.5" thickBot="1">
      <c r="A12" s="1931"/>
      <c r="B12" s="1934"/>
      <c r="C12" s="1936"/>
      <c r="D12" s="1938"/>
      <c r="E12" s="1837"/>
      <c r="F12" s="777" t="s">
        <v>47</v>
      </c>
      <c r="G12" s="778" t="s">
        <v>48</v>
      </c>
      <c r="H12" s="779" t="s">
        <v>47</v>
      </c>
      <c r="I12" s="780" t="s">
        <v>48</v>
      </c>
      <c r="J12" s="779" t="s">
        <v>47</v>
      </c>
      <c r="K12" s="780" t="s">
        <v>48</v>
      </c>
      <c r="N12" s="781"/>
      <c r="O12" s="781"/>
      <c r="P12" s="781"/>
    </row>
    <row r="13" spans="1:16" ht="15.75">
      <c r="A13" s="782">
        <v>1</v>
      </c>
      <c r="B13" s="783" t="s">
        <v>1379</v>
      </c>
      <c r="C13" s="784">
        <v>12402</v>
      </c>
      <c r="D13" s="785" t="s">
        <v>192</v>
      </c>
      <c r="E13" s="786">
        <v>6</v>
      </c>
      <c r="F13" s="784">
        <v>9481.25</v>
      </c>
      <c r="G13" s="784">
        <v>9481.25</v>
      </c>
      <c r="H13" s="784">
        <v>12402</v>
      </c>
      <c r="I13" s="784">
        <v>12402</v>
      </c>
      <c r="J13" s="787"/>
      <c r="K13" s="788"/>
      <c r="N13" s="781"/>
      <c r="O13" s="781"/>
      <c r="P13" s="781"/>
    </row>
    <row r="14" spans="1:16" ht="15.75">
      <c r="A14" s="789">
        <v>2</v>
      </c>
      <c r="B14" s="783" t="s">
        <v>1380</v>
      </c>
      <c r="C14" s="790"/>
      <c r="D14" s="785" t="s">
        <v>192</v>
      </c>
      <c r="E14" s="786">
        <v>12</v>
      </c>
      <c r="F14" s="784">
        <v>5930</v>
      </c>
      <c r="G14" s="791">
        <f>F14*0.925</f>
        <v>5485.25</v>
      </c>
      <c r="H14" s="784">
        <v>6390</v>
      </c>
      <c r="I14" s="792">
        <f>H14*0.9</f>
        <v>5751</v>
      </c>
      <c r="J14" s="784"/>
      <c r="K14" s="792"/>
      <c r="L14" s="783" t="s">
        <v>1381</v>
      </c>
      <c r="M14" s="783" t="s">
        <v>136</v>
      </c>
      <c r="N14" s="781"/>
      <c r="O14" s="781"/>
      <c r="P14" s="781"/>
    </row>
    <row r="15" spans="1:16" ht="15.75">
      <c r="A15" s="782">
        <v>3</v>
      </c>
      <c r="B15" s="783" t="s">
        <v>1382</v>
      </c>
      <c r="C15" s="790"/>
      <c r="D15" s="785" t="s">
        <v>192</v>
      </c>
      <c r="E15" s="786">
        <v>1</v>
      </c>
      <c r="F15" s="784">
        <v>4995</v>
      </c>
      <c r="G15" s="791">
        <f>F15*0.925</f>
        <v>4620.375</v>
      </c>
      <c r="H15" s="784">
        <v>8650</v>
      </c>
      <c r="I15" s="792">
        <f>H15*0.9</f>
        <v>7785</v>
      </c>
      <c r="J15" s="784"/>
      <c r="K15" s="792"/>
      <c r="L15" s="783" t="s">
        <v>1381</v>
      </c>
      <c r="M15" s="783" t="s">
        <v>147</v>
      </c>
      <c r="N15" s="781"/>
      <c r="O15" s="781"/>
      <c r="P15" s="781"/>
    </row>
    <row r="16" spans="1:16" ht="45">
      <c r="A16" s="789">
        <v>4</v>
      </c>
      <c r="B16" s="793" t="s">
        <v>1383</v>
      </c>
      <c r="C16" s="794"/>
      <c r="D16" s="785" t="s">
        <v>192</v>
      </c>
      <c r="E16" s="786">
        <v>2</v>
      </c>
      <c r="F16" s="784">
        <v>2750</v>
      </c>
      <c r="G16" s="791">
        <f>F16*0.925</f>
        <v>2543.75</v>
      </c>
      <c r="H16" s="784">
        <v>2544</v>
      </c>
      <c r="I16" s="792">
        <v>2544</v>
      </c>
      <c r="J16" s="784"/>
      <c r="K16" s="792"/>
      <c r="L16" s="783" t="s">
        <v>1384</v>
      </c>
      <c r="M16" s="783" t="s">
        <v>136</v>
      </c>
      <c r="N16" s="781"/>
      <c r="O16" s="781"/>
      <c r="P16" s="781"/>
    </row>
    <row r="17" spans="1:16" ht="15.75">
      <c r="A17" s="782">
        <v>5</v>
      </c>
      <c r="B17" s="783" t="s">
        <v>1385</v>
      </c>
      <c r="C17" s="794"/>
      <c r="D17" s="785" t="s">
        <v>192</v>
      </c>
      <c r="E17" s="786">
        <v>4</v>
      </c>
      <c r="F17" s="784">
        <v>1485</v>
      </c>
      <c r="G17" s="791">
        <f>F17*0.925</f>
        <v>1373.625</v>
      </c>
      <c r="H17" s="784">
        <v>1810</v>
      </c>
      <c r="I17" s="792">
        <f>H17*0.9</f>
        <v>1629</v>
      </c>
      <c r="J17" s="784"/>
      <c r="K17" s="792"/>
      <c r="L17" s="783" t="s">
        <v>1386</v>
      </c>
      <c r="M17" s="783" t="s">
        <v>136</v>
      </c>
      <c r="N17" s="781"/>
      <c r="O17" s="781"/>
      <c r="P17" s="781"/>
    </row>
    <row r="18" spans="1:16" ht="15.75" thickBot="1">
      <c r="A18" s="795"/>
      <c r="B18" s="796"/>
      <c r="C18" s="797"/>
      <c r="D18" s="795"/>
      <c r="E18" s="795"/>
      <c r="F18" s="798"/>
      <c r="G18" s="799"/>
      <c r="H18" s="800"/>
      <c r="I18" s="801"/>
      <c r="J18" s="800"/>
      <c r="K18" s="801"/>
      <c r="L18" s="783" t="s">
        <v>1386</v>
      </c>
      <c r="M18" s="783" t="s">
        <v>147</v>
      </c>
      <c r="N18" s="781"/>
      <c r="O18" s="781"/>
      <c r="P18" s="781"/>
    </row>
    <row r="19" spans="1:16" s="750" customFormat="1" ht="13.5" thickBot="1">
      <c r="A19" s="802" t="s">
        <v>58</v>
      </c>
      <c r="B19" s="803"/>
      <c r="C19" s="804"/>
      <c r="D19" s="805"/>
      <c r="E19" s="575">
        <f>SUM(E13:E17)</f>
        <v>25</v>
      </c>
      <c r="F19" s="373">
        <f t="shared" ref="F19:K19" si="0">SUMPRODUCT(F13:F18, $E$13:$E$18)</f>
        <v>144482.5</v>
      </c>
      <c r="G19" s="373">
        <f t="shared" si="0"/>
        <v>137912.875</v>
      </c>
      <c r="H19" s="373">
        <f t="shared" si="0"/>
        <v>172070</v>
      </c>
      <c r="I19" s="373">
        <f t="shared" si="0"/>
        <v>162813</v>
      </c>
      <c r="J19" s="373">
        <f t="shared" si="0"/>
        <v>0</v>
      </c>
      <c r="K19" s="373">
        <f t="shared" si="0"/>
        <v>0</v>
      </c>
      <c r="L19" s="373"/>
      <c r="M19" s="374"/>
      <c r="N19" s="806"/>
      <c r="O19" s="577"/>
      <c r="P19" s="806"/>
    </row>
    <row r="20" spans="1:16">
      <c r="A20" s="1922" t="s">
        <v>59</v>
      </c>
      <c r="B20" s="1923"/>
      <c r="C20" s="807"/>
      <c r="D20" s="807"/>
      <c r="E20" s="376"/>
      <c r="F20" s="379"/>
      <c r="G20" s="377"/>
      <c r="H20" s="379"/>
      <c r="I20" s="379"/>
      <c r="J20" s="379"/>
      <c r="K20" s="377"/>
      <c r="N20" s="781"/>
      <c r="O20" s="808"/>
      <c r="P20" s="781"/>
    </row>
    <row r="21" spans="1:16">
      <c r="A21" s="809" t="s">
        <v>60</v>
      </c>
      <c r="B21" s="810"/>
      <c r="C21" s="807"/>
      <c r="D21" s="807"/>
      <c r="E21" s="376"/>
      <c r="F21" s="382"/>
      <c r="G21" s="380" t="s">
        <v>61</v>
      </c>
      <c r="H21" s="382"/>
      <c r="I21" s="382"/>
      <c r="J21" s="382"/>
      <c r="K21" s="380"/>
    </row>
    <row r="22" spans="1:16">
      <c r="A22" s="1894" t="s">
        <v>62</v>
      </c>
      <c r="B22" s="1895"/>
      <c r="C22" s="807"/>
      <c r="D22" s="807"/>
      <c r="E22" s="376"/>
      <c r="F22" s="382"/>
      <c r="G22" s="380"/>
      <c r="H22" s="382">
        <v>1000</v>
      </c>
      <c r="I22" s="382">
        <v>1000</v>
      </c>
      <c r="J22" s="382"/>
      <c r="K22" s="380"/>
    </row>
    <row r="23" spans="1:16" ht="12.95" customHeight="1">
      <c r="A23" s="811" t="s">
        <v>63</v>
      </c>
      <c r="B23" s="812"/>
      <c r="C23" s="812"/>
      <c r="D23" s="812"/>
      <c r="E23" s="813"/>
      <c r="F23" s="814">
        <v>0.125</v>
      </c>
      <c r="G23" s="814">
        <v>0.125</v>
      </c>
      <c r="H23" s="814">
        <v>0.125</v>
      </c>
      <c r="I23" s="814">
        <v>0.125</v>
      </c>
      <c r="J23" s="814">
        <v>0.125</v>
      </c>
      <c r="K23" s="814">
        <v>0.125</v>
      </c>
    </row>
    <row r="24" spans="1:16" ht="12.95" customHeight="1">
      <c r="A24" s="811"/>
      <c r="B24" s="812" t="s">
        <v>64</v>
      </c>
      <c r="C24" s="815"/>
      <c r="D24" s="815"/>
      <c r="E24" s="816"/>
      <c r="F24" s="386">
        <f t="shared" ref="F24:K24" si="1">(F19+F20+F21+F22)*F23</f>
        <v>18060.3125</v>
      </c>
      <c r="G24" s="384">
        <f>(G19+G20+G22)*G23</f>
        <v>17239.109375</v>
      </c>
      <c r="H24" s="386">
        <f t="shared" si="1"/>
        <v>21633.75</v>
      </c>
      <c r="I24" s="386">
        <f t="shared" si="1"/>
        <v>20476.625</v>
      </c>
      <c r="J24" s="386">
        <f t="shared" si="1"/>
        <v>0</v>
      </c>
      <c r="K24" s="384">
        <f t="shared" si="1"/>
        <v>0</v>
      </c>
    </row>
    <row r="25" spans="1:16">
      <c r="A25" s="1894" t="s">
        <v>65</v>
      </c>
      <c r="B25" s="1895"/>
      <c r="C25" s="815"/>
      <c r="D25" s="817"/>
      <c r="E25" s="818"/>
      <c r="F25" s="387"/>
      <c r="G25" s="387"/>
      <c r="H25" s="387">
        <v>0.125</v>
      </c>
      <c r="I25" s="387">
        <v>0.125</v>
      </c>
      <c r="J25" s="387"/>
      <c r="K25" s="387"/>
    </row>
    <row r="26" spans="1:16" ht="12.95" customHeight="1">
      <c r="A26" s="809"/>
      <c r="B26" s="810" t="s">
        <v>66</v>
      </c>
      <c r="C26" s="815"/>
      <c r="D26" s="817"/>
      <c r="E26" s="818"/>
      <c r="F26" s="386">
        <f t="shared" ref="F26:K26" si="2">(F24+F20+F21+F22+F19)*F25</f>
        <v>0</v>
      </c>
      <c r="G26" s="384">
        <f>(G24+G20+G22+G19)*G25</f>
        <v>0</v>
      </c>
      <c r="H26" s="386">
        <f t="shared" si="2"/>
        <v>24337.96875</v>
      </c>
      <c r="I26" s="386">
        <f t="shared" si="2"/>
        <v>23036.203125</v>
      </c>
      <c r="J26" s="386">
        <f t="shared" si="2"/>
        <v>0</v>
      </c>
      <c r="K26" s="384">
        <f t="shared" si="2"/>
        <v>0</v>
      </c>
    </row>
    <row r="27" spans="1:16" ht="12.95" customHeight="1">
      <c r="A27" s="809" t="s">
        <v>67</v>
      </c>
      <c r="B27" s="810"/>
      <c r="C27" s="815"/>
      <c r="D27" s="817"/>
      <c r="E27" s="818"/>
      <c r="F27" s="387">
        <v>0.02</v>
      </c>
      <c r="G27" s="387">
        <v>0.02</v>
      </c>
      <c r="H27" s="387"/>
      <c r="I27" s="387"/>
      <c r="J27" s="387">
        <v>0.02</v>
      </c>
      <c r="K27" s="387">
        <v>0.02</v>
      </c>
    </row>
    <row r="28" spans="1:16" ht="12.95" customHeight="1">
      <c r="A28" s="809"/>
      <c r="B28" s="810" t="s">
        <v>68</v>
      </c>
      <c r="C28" s="815"/>
      <c r="D28" s="817"/>
      <c r="E28" s="818"/>
      <c r="F28" s="386">
        <f t="shared" ref="F28:K28" si="3">(F24+F20+F21+F22+F19)*F27</f>
        <v>3250.8562500000003</v>
      </c>
      <c r="G28" s="384">
        <f>(G24+G20+G22+G19)*G27</f>
        <v>3103.0396875000001</v>
      </c>
      <c r="H28" s="386">
        <f t="shared" si="3"/>
        <v>0</v>
      </c>
      <c r="I28" s="386">
        <f t="shared" si="3"/>
        <v>0</v>
      </c>
      <c r="J28" s="386">
        <f t="shared" si="3"/>
        <v>0</v>
      </c>
      <c r="K28" s="384">
        <f t="shared" si="3"/>
        <v>0</v>
      </c>
    </row>
    <row r="29" spans="1:16" ht="12.95" customHeight="1">
      <c r="A29" s="1894" t="s">
        <v>69</v>
      </c>
      <c r="B29" s="1895"/>
      <c r="C29" s="815"/>
      <c r="D29" s="819"/>
      <c r="E29" s="818"/>
      <c r="F29" s="389"/>
      <c r="G29" s="387"/>
      <c r="H29" s="389"/>
      <c r="I29" s="389"/>
      <c r="J29" s="389"/>
      <c r="K29" s="387"/>
    </row>
    <row r="30" spans="1:16" ht="12.95" customHeight="1">
      <c r="A30" s="820"/>
      <c r="B30" s="821" t="s">
        <v>70</v>
      </c>
      <c r="C30" s="822"/>
      <c r="D30" s="823"/>
      <c r="E30" s="824"/>
      <c r="F30" s="386">
        <f t="shared" ref="F30:K30" si="4">F19*F29</f>
        <v>0</v>
      </c>
      <c r="G30" s="384">
        <f t="shared" si="4"/>
        <v>0</v>
      </c>
      <c r="H30" s="386">
        <f t="shared" si="4"/>
        <v>0</v>
      </c>
      <c r="I30" s="386">
        <f t="shared" si="4"/>
        <v>0</v>
      </c>
      <c r="J30" s="386">
        <f t="shared" si="4"/>
        <v>0</v>
      </c>
      <c r="K30" s="384">
        <f t="shared" si="4"/>
        <v>0</v>
      </c>
    </row>
    <row r="31" spans="1:16" ht="13.5" thickBot="1">
      <c r="A31" s="1896"/>
      <c r="B31" s="1897"/>
      <c r="C31" s="822"/>
      <c r="D31" s="822"/>
      <c r="E31" s="391"/>
      <c r="F31" s="394"/>
      <c r="G31" s="392"/>
      <c r="H31" s="394"/>
      <c r="I31" s="394"/>
      <c r="J31" s="394"/>
      <c r="K31" s="392"/>
    </row>
    <row r="32" spans="1:16" ht="13.5" thickBot="1">
      <c r="A32" s="825" t="s">
        <v>71</v>
      </c>
      <c r="B32" s="826"/>
      <c r="C32" s="826"/>
      <c r="D32" s="826"/>
      <c r="E32" s="827"/>
      <c r="F32" s="828">
        <f>SUM(F19,F20,F22,F24,F26)</f>
        <v>162542.8125</v>
      </c>
      <c r="G32" s="829">
        <f>SUM(G19+G24+G28+G31)</f>
        <v>158255.02406249999</v>
      </c>
      <c r="H32" s="828">
        <f>SUM(H19,H20,H22,H24,H26)</f>
        <v>219041.71875</v>
      </c>
      <c r="I32" s="828">
        <f>SUM(I19,I20,I22,I24,I26)</f>
        <v>207325.828125</v>
      </c>
      <c r="J32" s="828">
        <f>SUM(J19,J20,J22,J24,J26)</f>
        <v>0</v>
      </c>
      <c r="K32" s="828">
        <f>SUM(K19,K20,K22,K24,K26)</f>
        <v>0</v>
      </c>
    </row>
    <row r="33" spans="1:11" s="834" customFormat="1" ht="13.5" thickBot="1">
      <c r="A33" s="830"/>
      <c r="B33" s="831"/>
      <c r="C33" s="831"/>
      <c r="D33" s="831"/>
      <c r="E33" s="831"/>
      <c r="F33" s="832"/>
      <c r="G33" s="833"/>
      <c r="H33" s="832"/>
      <c r="I33" s="832"/>
      <c r="J33" s="832"/>
      <c r="K33" s="832"/>
    </row>
    <row r="34" spans="1:11" s="750" customFormat="1" ht="13.5" thickBot="1">
      <c r="A34" s="825" t="s">
        <v>72</v>
      </c>
      <c r="B34" s="826"/>
      <c r="C34" s="826"/>
      <c r="D34" s="826"/>
      <c r="E34" s="827"/>
      <c r="F34" s="829">
        <f>F19+F28+F20</f>
        <v>147733.35625000001</v>
      </c>
      <c r="G34" s="829">
        <f>G19+G28+G20+G22</f>
        <v>141015.91468749999</v>
      </c>
      <c r="H34" s="829">
        <f>H19+H28+H20</f>
        <v>172070</v>
      </c>
      <c r="I34" s="829">
        <f>I19+I28+I20</f>
        <v>162813</v>
      </c>
      <c r="J34" s="829">
        <f>J19+J28+J20</f>
        <v>0</v>
      </c>
      <c r="K34" s="829">
        <f>K19+K28+K20</f>
        <v>0</v>
      </c>
    </row>
    <row r="35" spans="1:11" ht="13.5" thickBot="1">
      <c r="A35" s="835"/>
      <c r="B35" s="836"/>
      <c r="C35" s="837"/>
      <c r="D35" s="837"/>
      <c r="E35" s="397"/>
      <c r="F35" s="838"/>
      <c r="G35" s="839"/>
      <c r="H35" s="838"/>
      <c r="I35" s="840"/>
      <c r="J35" s="838"/>
      <c r="K35" s="840"/>
    </row>
    <row r="36" spans="1:11">
      <c r="A36" s="841" t="s">
        <v>73</v>
      </c>
      <c r="B36" s="842" t="s">
        <v>74</v>
      </c>
      <c r="C36" s="843"/>
      <c r="D36" s="843"/>
      <c r="E36" s="399"/>
      <c r="F36" s="844" t="s">
        <v>392</v>
      </c>
      <c r="G36" s="844" t="s">
        <v>392</v>
      </c>
      <c r="H36" s="844" t="s">
        <v>1387</v>
      </c>
      <c r="I36" s="844" t="s">
        <v>1387</v>
      </c>
      <c r="J36" s="844" t="s">
        <v>1203</v>
      </c>
      <c r="K36" s="844" t="s">
        <v>1203</v>
      </c>
    </row>
    <row r="37" spans="1:11" ht="13.5" thickBot="1">
      <c r="A37" s="845" t="s">
        <v>79</v>
      </c>
      <c r="B37" s="846" t="s">
        <v>80</v>
      </c>
      <c r="C37" s="847"/>
      <c r="D37" s="847"/>
      <c r="E37" s="401"/>
      <c r="F37" s="848" t="s">
        <v>329</v>
      </c>
      <c r="G37" s="849" t="s">
        <v>82</v>
      </c>
      <c r="H37" s="844" t="s">
        <v>165</v>
      </c>
      <c r="I37" s="844" t="s">
        <v>165</v>
      </c>
      <c r="J37" s="844" t="s">
        <v>165</v>
      </c>
      <c r="K37" s="844" t="s">
        <v>1388</v>
      </c>
    </row>
    <row r="38" spans="1:11" ht="63.75">
      <c r="A38" s="850" t="s">
        <v>85</v>
      </c>
      <c r="B38" s="851" t="s">
        <v>86</v>
      </c>
      <c r="C38" s="852"/>
      <c r="D38" s="852"/>
      <c r="E38" s="402"/>
      <c r="F38" s="853" t="s">
        <v>330</v>
      </c>
      <c r="G38" s="853" t="s">
        <v>1389</v>
      </c>
      <c r="H38" s="854" t="s">
        <v>1390</v>
      </c>
      <c r="I38" s="854" t="s">
        <v>168</v>
      </c>
      <c r="J38" s="854" t="s">
        <v>1390</v>
      </c>
      <c r="K38" s="854" t="s">
        <v>1391</v>
      </c>
    </row>
    <row r="39" spans="1:11">
      <c r="A39" s="855" t="s">
        <v>90</v>
      </c>
      <c r="B39" s="852" t="s">
        <v>91</v>
      </c>
      <c r="C39" s="852"/>
      <c r="D39" s="852"/>
      <c r="E39" s="402"/>
      <c r="F39" s="856" t="s">
        <v>351</v>
      </c>
      <c r="G39" s="856" t="s">
        <v>351</v>
      </c>
      <c r="H39" s="854" t="s">
        <v>92</v>
      </c>
      <c r="I39" s="856" t="s">
        <v>331</v>
      </c>
      <c r="J39" s="854" t="s">
        <v>92</v>
      </c>
      <c r="K39" s="856" t="s">
        <v>331</v>
      </c>
    </row>
    <row r="40" spans="1:11" ht="39.950000000000003" customHeight="1">
      <c r="A40" s="855" t="s">
        <v>93</v>
      </c>
      <c r="B40" s="851" t="s">
        <v>94</v>
      </c>
      <c r="C40" s="852"/>
      <c r="D40" s="852"/>
      <c r="E40" s="402"/>
      <c r="F40" s="857" t="s">
        <v>332</v>
      </c>
      <c r="G40" s="858" t="s">
        <v>332</v>
      </c>
      <c r="H40" s="857"/>
      <c r="I40" s="859"/>
      <c r="J40" s="857"/>
      <c r="K40" s="859"/>
    </row>
    <row r="41" spans="1:11" ht="89.25">
      <c r="A41" s="855" t="s">
        <v>95</v>
      </c>
      <c r="B41" s="851" t="s">
        <v>96</v>
      </c>
      <c r="C41" s="852"/>
      <c r="D41" s="852"/>
      <c r="E41" s="402"/>
      <c r="F41" s="854" t="s">
        <v>97</v>
      </c>
      <c r="G41" s="853" t="s">
        <v>98</v>
      </c>
      <c r="H41" s="854" t="s">
        <v>97</v>
      </c>
      <c r="I41" s="854" t="s">
        <v>97</v>
      </c>
      <c r="J41" s="854" t="s">
        <v>97</v>
      </c>
      <c r="K41" s="854" t="s">
        <v>97</v>
      </c>
    </row>
    <row r="42" spans="1:11" ht="51.75" thickBot="1">
      <c r="A42" s="860" t="s">
        <v>99</v>
      </c>
      <c r="B42" s="861" t="s">
        <v>100</v>
      </c>
      <c r="C42" s="862"/>
      <c r="D42" s="862"/>
      <c r="E42" s="403"/>
      <c r="F42" s="863" t="s">
        <v>101</v>
      </c>
      <c r="G42" s="864" t="s">
        <v>101</v>
      </c>
      <c r="H42" s="863" t="s">
        <v>101</v>
      </c>
      <c r="I42" s="863" t="s">
        <v>101</v>
      </c>
      <c r="J42" s="863" t="s">
        <v>101</v>
      </c>
      <c r="K42" s="863" t="s">
        <v>101</v>
      </c>
    </row>
    <row r="43" spans="1:11" ht="30" customHeight="1">
      <c r="A43" s="1898" t="s">
        <v>102</v>
      </c>
      <c r="B43" s="1899"/>
      <c r="C43" s="1900"/>
      <c r="D43" s="1901" t="s">
        <v>103</v>
      </c>
      <c r="E43" s="1902"/>
      <c r="F43" s="1903"/>
      <c r="G43" s="1904" t="s">
        <v>104</v>
      </c>
      <c r="H43" s="1905"/>
      <c r="I43" s="1906"/>
      <c r="J43" s="865"/>
      <c r="K43" s="865"/>
    </row>
    <row r="44" spans="1:11" ht="13.5" thickBot="1">
      <c r="A44" s="1898"/>
      <c r="B44" s="1899"/>
      <c r="C44" s="1900"/>
      <c r="D44" s="1901"/>
      <c r="E44" s="1902"/>
      <c r="F44" s="1903"/>
      <c r="G44" s="1907"/>
      <c r="H44" s="1908"/>
      <c r="I44" s="1909"/>
      <c r="J44" s="865"/>
      <c r="K44" s="865"/>
    </row>
    <row r="45" spans="1:11">
      <c r="A45" s="838"/>
      <c r="B45" s="866"/>
      <c r="C45" s="867"/>
      <c r="D45" s="867"/>
      <c r="E45" s="406"/>
      <c r="F45" s="867"/>
      <c r="G45" s="867"/>
      <c r="H45" s="867"/>
      <c r="I45" s="867"/>
      <c r="J45" s="867"/>
      <c r="K45" s="867"/>
    </row>
    <row r="46" spans="1:11">
      <c r="A46" s="868"/>
      <c r="B46" s="869"/>
      <c r="C46" s="781"/>
      <c r="D46" s="781"/>
      <c r="E46" s="407"/>
      <c r="F46" s="781"/>
      <c r="G46" s="781"/>
      <c r="H46" s="781"/>
      <c r="I46" s="781"/>
      <c r="J46" s="781"/>
      <c r="K46" s="781"/>
    </row>
    <row r="47" spans="1:11">
      <c r="A47" s="868"/>
      <c r="B47" s="773" t="s">
        <v>105</v>
      </c>
      <c r="C47" s="774"/>
      <c r="D47" s="774"/>
      <c r="E47" s="774" t="s">
        <v>106</v>
      </c>
      <c r="F47" s="774"/>
      <c r="G47" s="774"/>
      <c r="H47" s="774" t="s">
        <v>107</v>
      </c>
      <c r="I47" s="781"/>
      <c r="J47" s="774" t="s">
        <v>107</v>
      </c>
      <c r="K47" s="781"/>
    </row>
    <row r="48" spans="1:11" ht="13.5" thickBot="1">
      <c r="A48" s="870"/>
      <c r="B48" s="871"/>
      <c r="C48" s="872"/>
      <c r="D48" s="872"/>
      <c r="E48" s="872"/>
      <c r="F48" s="872"/>
      <c r="G48" s="872"/>
      <c r="H48" s="872"/>
      <c r="I48" s="872"/>
      <c r="J48" s="872"/>
      <c r="K48" s="872"/>
    </row>
  </sheetData>
  <mergeCells count="28">
    <mergeCell ref="A2:I2"/>
    <mergeCell ref="A3:I3"/>
    <mergeCell ref="E4:E5"/>
    <mergeCell ref="A7:A12"/>
    <mergeCell ref="B7:B12"/>
    <mergeCell ref="C7:C12"/>
    <mergeCell ref="D7:D12"/>
    <mergeCell ref="E7:E12"/>
    <mergeCell ref="F7:G7"/>
    <mergeCell ref="H7:I7"/>
    <mergeCell ref="A25:B25"/>
    <mergeCell ref="J7:K7"/>
    <mergeCell ref="F8:G9"/>
    <mergeCell ref="H8:I9"/>
    <mergeCell ref="J8:K9"/>
    <mergeCell ref="F10:G10"/>
    <mergeCell ref="H10:I10"/>
    <mergeCell ref="J10:K10"/>
    <mergeCell ref="F11:G11"/>
    <mergeCell ref="H11:I11"/>
    <mergeCell ref="J11:K11"/>
    <mergeCell ref="A20:B20"/>
    <mergeCell ref="A22:B22"/>
    <mergeCell ref="A29:B29"/>
    <mergeCell ref="A31:B31"/>
    <mergeCell ref="A43:C44"/>
    <mergeCell ref="D43:F44"/>
    <mergeCell ref="G43:I44"/>
  </mergeCells>
  <pageMargins left="0.25" right="0.25" top="0.75" bottom="0.75" header="0.3" footer="0.3"/>
  <pageSetup scale="5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8:P53"/>
  <sheetViews>
    <sheetView topLeftCell="A32" workbookViewId="0">
      <selection activeCell="C33" sqref="C33:C40"/>
    </sheetView>
  </sheetViews>
  <sheetFormatPr defaultRowHeight="15"/>
  <cols>
    <col min="3" max="3" width="10.42578125" bestFit="1" customWidth="1"/>
    <col min="4" max="4" width="10.85546875" customWidth="1"/>
    <col min="5" max="5" width="11.5703125" customWidth="1"/>
    <col min="7" max="7" width="30.7109375" customWidth="1"/>
    <col min="9" max="9" width="12.7109375" customWidth="1"/>
    <col min="12" max="12" width="12.7109375" customWidth="1"/>
    <col min="13" max="13" width="11" customWidth="1"/>
    <col min="14" max="14" width="10.140625" customWidth="1"/>
    <col min="15" max="15" width="12" customWidth="1"/>
  </cols>
  <sheetData>
    <row r="18" spans="2:15" ht="15.75" thickBot="1"/>
    <row r="19" spans="2:15" ht="42" customHeight="1" thickBot="1">
      <c r="B19" s="1627" t="s">
        <v>1951</v>
      </c>
      <c r="C19" s="1628" t="s">
        <v>2093</v>
      </c>
      <c r="D19" s="1464" t="s">
        <v>2094</v>
      </c>
      <c r="E19" s="1464" t="s">
        <v>2095</v>
      </c>
      <c r="F19" s="1628" t="s">
        <v>404</v>
      </c>
      <c r="G19" s="1464" t="s">
        <v>2096</v>
      </c>
      <c r="H19" s="1464" t="s">
        <v>1311</v>
      </c>
      <c r="I19" s="1464" t="s">
        <v>35</v>
      </c>
      <c r="J19" s="1628" t="s">
        <v>2097</v>
      </c>
      <c r="K19" s="1464" t="s">
        <v>1826</v>
      </c>
      <c r="L19" s="1464" t="s">
        <v>1827</v>
      </c>
      <c r="M19" s="1464" t="s">
        <v>2098</v>
      </c>
      <c r="N19" s="1629" t="s">
        <v>2099</v>
      </c>
      <c r="O19" s="1630" t="s">
        <v>2100</v>
      </c>
    </row>
    <row r="20" spans="2:15" ht="24.75" customHeight="1">
      <c r="B20" s="1693">
        <v>103</v>
      </c>
      <c r="C20" s="1694">
        <v>42752</v>
      </c>
      <c r="D20" s="1693">
        <v>1100028076</v>
      </c>
      <c r="E20" s="1693">
        <v>10</v>
      </c>
      <c r="F20" s="1693">
        <v>1308977</v>
      </c>
      <c r="G20" s="1631" t="s">
        <v>2101</v>
      </c>
      <c r="H20" s="1693">
        <v>1</v>
      </c>
      <c r="I20" s="1689" t="s">
        <v>192</v>
      </c>
      <c r="J20" s="1689" t="s">
        <v>2102</v>
      </c>
      <c r="K20" s="1690">
        <v>3000010397</v>
      </c>
      <c r="L20" s="1691">
        <v>42161</v>
      </c>
      <c r="M20" s="1692">
        <v>14985</v>
      </c>
      <c r="N20" s="1692">
        <v>25980</v>
      </c>
      <c r="O20" s="1676">
        <v>11500</v>
      </c>
    </row>
    <row r="21" spans="2:15" ht="24.75" customHeight="1" thickBot="1">
      <c r="B21" s="1679"/>
      <c r="C21" s="1682"/>
      <c r="D21" s="1679"/>
      <c r="E21" s="1679"/>
      <c r="F21" s="1679"/>
      <c r="G21" s="1632" t="s">
        <v>2103</v>
      </c>
      <c r="H21" s="1679"/>
      <c r="I21" s="1685"/>
      <c r="J21" s="1685"/>
      <c r="K21" s="1688"/>
      <c r="L21" s="1654"/>
      <c r="M21" s="1657"/>
      <c r="N21" s="1657"/>
      <c r="O21" s="1660"/>
    </row>
    <row r="22" spans="2:15" ht="24.75" customHeight="1">
      <c r="B22" s="1677">
        <v>103</v>
      </c>
      <c r="C22" s="1680">
        <v>42752</v>
      </c>
      <c r="D22" s="1677">
        <v>1100028088</v>
      </c>
      <c r="E22" s="1677">
        <v>10</v>
      </c>
      <c r="F22" s="1677">
        <v>1308948</v>
      </c>
      <c r="G22" s="1631" t="s">
        <v>2104</v>
      </c>
      <c r="H22" s="1677">
        <v>1</v>
      </c>
      <c r="I22" s="1683" t="s">
        <v>192</v>
      </c>
      <c r="J22" s="1683" t="s">
        <v>2102</v>
      </c>
      <c r="K22" s="1686">
        <v>3000035642</v>
      </c>
      <c r="L22" s="1652">
        <v>42664</v>
      </c>
      <c r="M22" s="1655">
        <v>35640</v>
      </c>
      <c r="N22" s="1655">
        <v>22550</v>
      </c>
      <c r="O22" s="1658">
        <v>14000</v>
      </c>
    </row>
    <row r="23" spans="2:15" ht="24.75" customHeight="1">
      <c r="B23" s="1678"/>
      <c r="C23" s="1681"/>
      <c r="D23" s="1678"/>
      <c r="E23" s="1678"/>
      <c r="F23" s="1678"/>
      <c r="G23" s="1631" t="s">
        <v>2105</v>
      </c>
      <c r="H23" s="1678"/>
      <c r="I23" s="1684"/>
      <c r="J23" s="1684"/>
      <c r="K23" s="1687"/>
      <c r="L23" s="1653"/>
      <c r="M23" s="1656"/>
      <c r="N23" s="1656"/>
      <c r="O23" s="1659"/>
    </row>
    <row r="24" spans="2:15" ht="24.75" customHeight="1">
      <c r="B24" s="1678"/>
      <c r="C24" s="1681"/>
      <c r="D24" s="1678"/>
      <c r="E24" s="1678"/>
      <c r="F24" s="1678"/>
      <c r="G24" s="1631" t="s">
        <v>2106</v>
      </c>
      <c r="H24" s="1678"/>
      <c r="I24" s="1684"/>
      <c r="J24" s="1684"/>
      <c r="K24" s="1687"/>
      <c r="L24" s="1653"/>
      <c r="M24" s="1656"/>
      <c r="N24" s="1656"/>
      <c r="O24" s="1659"/>
    </row>
    <row r="25" spans="2:15" ht="24.75" customHeight="1">
      <c r="B25" s="1678"/>
      <c r="C25" s="1681"/>
      <c r="D25" s="1678"/>
      <c r="E25" s="1678"/>
      <c r="F25" s="1678"/>
      <c r="G25" s="1631" t="s">
        <v>2107</v>
      </c>
      <c r="H25" s="1678"/>
      <c r="I25" s="1684"/>
      <c r="J25" s="1684"/>
      <c r="K25" s="1687"/>
      <c r="L25" s="1653"/>
      <c r="M25" s="1656"/>
      <c r="N25" s="1656"/>
      <c r="O25" s="1659"/>
    </row>
    <row r="26" spans="2:15" ht="24.75" customHeight="1">
      <c r="B26" s="1678"/>
      <c r="C26" s="1681"/>
      <c r="D26" s="1678"/>
      <c r="E26" s="1678"/>
      <c r="F26" s="1678"/>
      <c r="G26" s="1631" t="s">
        <v>2108</v>
      </c>
      <c r="H26" s="1678"/>
      <c r="I26" s="1684"/>
      <c r="J26" s="1684"/>
      <c r="K26" s="1687"/>
      <c r="L26" s="1653"/>
      <c r="M26" s="1656"/>
      <c r="N26" s="1656"/>
      <c r="O26" s="1659"/>
    </row>
    <row r="27" spans="2:15" ht="24.75" customHeight="1">
      <c r="B27" s="1678"/>
      <c r="C27" s="1681"/>
      <c r="D27" s="1678"/>
      <c r="E27" s="1678"/>
      <c r="F27" s="1678"/>
      <c r="G27" s="1631" t="s">
        <v>2109</v>
      </c>
      <c r="H27" s="1678"/>
      <c r="I27" s="1684"/>
      <c r="J27" s="1684"/>
      <c r="K27" s="1687"/>
      <c r="L27" s="1653"/>
      <c r="M27" s="1656"/>
      <c r="N27" s="1656"/>
      <c r="O27" s="1659"/>
    </row>
    <row r="28" spans="2:15" ht="24.75" customHeight="1">
      <c r="B28" s="1678"/>
      <c r="C28" s="1681"/>
      <c r="D28" s="1678"/>
      <c r="E28" s="1678"/>
      <c r="F28" s="1678"/>
      <c r="G28" s="1631" t="s">
        <v>2110</v>
      </c>
      <c r="H28" s="1678"/>
      <c r="I28" s="1684"/>
      <c r="J28" s="1684"/>
      <c r="K28" s="1687"/>
      <c r="L28" s="1653"/>
      <c r="M28" s="1656"/>
      <c r="N28" s="1656"/>
      <c r="O28" s="1659"/>
    </row>
    <row r="29" spans="2:15" ht="24.75" customHeight="1">
      <c r="B29" s="1678"/>
      <c r="C29" s="1681"/>
      <c r="D29" s="1678"/>
      <c r="E29" s="1678"/>
      <c r="F29" s="1678"/>
      <c r="G29" s="1631" t="s">
        <v>2111</v>
      </c>
      <c r="H29" s="1678"/>
      <c r="I29" s="1684"/>
      <c r="J29" s="1684"/>
      <c r="K29" s="1687"/>
      <c r="L29" s="1653"/>
      <c r="M29" s="1656"/>
      <c r="N29" s="1656"/>
      <c r="O29" s="1659"/>
    </row>
    <row r="30" spans="2:15" ht="24.75" customHeight="1">
      <c r="B30" s="1678"/>
      <c r="C30" s="1681"/>
      <c r="D30" s="1678"/>
      <c r="E30" s="1678"/>
      <c r="F30" s="1678"/>
      <c r="G30" s="1631" t="s">
        <v>2112</v>
      </c>
      <c r="H30" s="1678"/>
      <c r="I30" s="1684"/>
      <c r="J30" s="1684"/>
      <c r="K30" s="1687"/>
      <c r="L30" s="1653"/>
      <c r="M30" s="1656"/>
      <c r="N30" s="1656"/>
      <c r="O30" s="1659"/>
    </row>
    <row r="31" spans="2:15" ht="24.75" customHeight="1">
      <c r="B31" s="1678"/>
      <c r="C31" s="1681"/>
      <c r="D31" s="1678"/>
      <c r="E31" s="1678"/>
      <c r="F31" s="1678"/>
      <c r="G31" s="1631" t="s">
        <v>2113</v>
      </c>
      <c r="H31" s="1678"/>
      <c r="I31" s="1684"/>
      <c r="J31" s="1684"/>
      <c r="K31" s="1687"/>
      <c r="L31" s="1653"/>
      <c r="M31" s="1656"/>
      <c r="N31" s="1656"/>
      <c r="O31" s="1659"/>
    </row>
    <row r="32" spans="2:15" ht="24.75" customHeight="1" thickBot="1">
      <c r="B32" s="1679"/>
      <c r="C32" s="1682"/>
      <c r="D32" s="1679"/>
      <c r="E32" s="1679"/>
      <c r="F32" s="1679"/>
      <c r="G32" s="1632" t="s">
        <v>2114</v>
      </c>
      <c r="H32" s="1679"/>
      <c r="I32" s="1685"/>
      <c r="J32" s="1685"/>
      <c r="K32" s="1688"/>
      <c r="L32" s="1654"/>
      <c r="M32" s="1657"/>
      <c r="N32" s="1657"/>
      <c r="O32" s="1660"/>
    </row>
    <row r="33" spans="2:16" ht="37.5" customHeight="1" thickBot="1">
      <c r="B33" s="1661">
        <v>103</v>
      </c>
      <c r="C33" s="1664">
        <v>42717</v>
      </c>
      <c r="D33" s="1667">
        <v>1100027338</v>
      </c>
      <c r="E33" s="1661">
        <v>10</v>
      </c>
      <c r="F33" s="1661">
        <v>1318962</v>
      </c>
      <c r="G33" s="1635" t="s">
        <v>2115</v>
      </c>
      <c r="H33" s="1661">
        <v>1</v>
      </c>
      <c r="I33" s="1673" t="s">
        <v>192</v>
      </c>
      <c r="J33" s="1673" t="s">
        <v>2102</v>
      </c>
      <c r="K33" s="1673"/>
      <c r="L33" s="1661"/>
      <c r="M33" s="1661">
        <v>81197.100000000006</v>
      </c>
      <c r="N33" s="1661">
        <v>67430</v>
      </c>
      <c r="O33" s="1670">
        <v>39000</v>
      </c>
    </row>
    <row r="34" spans="2:16" ht="24.75" customHeight="1" thickBot="1">
      <c r="B34" s="1662"/>
      <c r="C34" s="1665"/>
      <c r="D34" s="1668"/>
      <c r="E34" s="1662"/>
      <c r="F34" s="1662"/>
      <c r="G34" s="1635" t="s">
        <v>2116</v>
      </c>
      <c r="H34" s="1662"/>
      <c r="I34" s="1674"/>
      <c r="J34" s="1674"/>
      <c r="K34" s="1674"/>
      <c r="L34" s="1662"/>
      <c r="M34" s="1662"/>
      <c r="N34" s="1662"/>
      <c r="O34" s="1671"/>
    </row>
    <row r="35" spans="2:16" ht="24.75" customHeight="1" thickBot="1">
      <c r="B35" s="1662"/>
      <c r="C35" s="1665"/>
      <c r="D35" s="1668"/>
      <c r="E35" s="1662"/>
      <c r="F35" s="1662"/>
      <c r="G35" s="1635" t="s">
        <v>2117</v>
      </c>
      <c r="H35" s="1662"/>
      <c r="I35" s="1674"/>
      <c r="J35" s="1674"/>
      <c r="K35" s="1674"/>
      <c r="L35" s="1662"/>
      <c r="M35" s="1662"/>
      <c r="N35" s="1662"/>
      <c r="O35" s="1671"/>
    </row>
    <row r="36" spans="2:16" ht="24.75" customHeight="1" thickBot="1">
      <c r="B36" s="1662"/>
      <c r="C36" s="1665"/>
      <c r="D36" s="1668"/>
      <c r="E36" s="1662"/>
      <c r="F36" s="1662"/>
      <c r="G36" s="1635" t="s">
        <v>2118</v>
      </c>
      <c r="H36" s="1662"/>
      <c r="I36" s="1674"/>
      <c r="J36" s="1674"/>
      <c r="K36" s="1674"/>
      <c r="L36" s="1662"/>
      <c r="M36" s="1662"/>
      <c r="N36" s="1662"/>
      <c r="O36" s="1671"/>
    </row>
    <row r="37" spans="2:16" ht="24.75" customHeight="1" thickBot="1">
      <c r="B37" s="1662"/>
      <c r="C37" s="1665"/>
      <c r="D37" s="1668"/>
      <c r="E37" s="1662"/>
      <c r="F37" s="1662"/>
      <c r="G37" s="1635" t="s">
        <v>2119</v>
      </c>
      <c r="H37" s="1662"/>
      <c r="I37" s="1674"/>
      <c r="J37" s="1674"/>
      <c r="K37" s="1674"/>
      <c r="L37" s="1662"/>
      <c r="M37" s="1662"/>
      <c r="N37" s="1662"/>
      <c r="O37" s="1671"/>
    </row>
    <row r="38" spans="2:16" ht="24.75" customHeight="1" thickBot="1">
      <c r="B38" s="1662"/>
      <c r="C38" s="1665"/>
      <c r="D38" s="1668"/>
      <c r="E38" s="1662"/>
      <c r="F38" s="1662"/>
      <c r="G38" s="1635" t="s">
        <v>2120</v>
      </c>
      <c r="H38" s="1662"/>
      <c r="I38" s="1674"/>
      <c r="J38" s="1674"/>
      <c r="K38" s="1674"/>
      <c r="L38" s="1662"/>
      <c r="M38" s="1662"/>
      <c r="N38" s="1662"/>
      <c r="O38" s="1671"/>
    </row>
    <row r="39" spans="2:16" ht="33" customHeight="1" thickBot="1">
      <c r="B39" s="1662"/>
      <c r="C39" s="1665"/>
      <c r="D39" s="1668"/>
      <c r="E39" s="1662"/>
      <c r="F39" s="1662"/>
      <c r="G39" s="1635" t="s">
        <v>2121</v>
      </c>
      <c r="H39" s="1662"/>
      <c r="I39" s="1674"/>
      <c r="J39" s="1674"/>
      <c r="K39" s="1674"/>
      <c r="L39" s="1662"/>
      <c r="M39" s="1662"/>
      <c r="N39" s="1662"/>
      <c r="O39" s="1671"/>
    </row>
    <row r="40" spans="2:16" ht="30.75" customHeight="1" thickBot="1">
      <c r="B40" s="1663"/>
      <c r="C40" s="1666"/>
      <c r="D40" s="1669"/>
      <c r="E40" s="1663"/>
      <c r="F40" s="1663"/>
      <c r="G40" s="1635" t="s">
        <v>2122</v>
      </c>
      <c r="H40" s="1663"/>
      <c r="I40" s="1675"/>
      <c r="J40" s="1675"/>
      <c r="K40" s="1675"/>
      <c r="L40" s="1663"/>
      <c r="M40" s="1663"/>
      <c r="N40" s="1663"/>
      <c r="O40" s="1672"/>
    </row>
    <row r="41" spans="2:16" ht="39" customHeight="1" thickBot="1">
      <c r="B41" s="1636">
        <v>103</v>
      </c>
      <c r="C41" s="1637">
        <v>42696</v>
      </c>
      <c r="D41" s="1638">
        <v>1100026964</v>
      </c>
      <c r="E41" s="1639">
        <v>10</v>
      </c>
      <c r="F41" s="1639">
        <v>1308968</v>
      </c>
      <c r="G41" s="1640" t="s">
        <v>2123</v>
      </c>
      <c r="H41" s="1639">
        <v>1</v>
      </c>
      <c r="I41" s="1641" t="s">
        <v>192</v>
      </c>
      <c r="J41" s="1641" t="s">
        <v>2102</v>
      </c>
      <c r="K41" s="1641"/>
      <c r="L41" s="1634"/>
      <c r="M41" s="1634">
        <v>33242.65</v>
      </c>
      <c r="N41" s="1633">
        <v>27280</v>
      </c>
      <c r="O41" s="1642">
        <v>16000</v>
      </c>
    </row>
    <row r="42" spans="2:16" ht="24.75" customHeight="1" thickBot="1">
      <c r="B42" s="1643"/>
      <c r="C42" s="1643"/>
      <c r="D42" s="1643"/>
      <c r="E42" s="1643"/>
      <c r="F42" s="1643"/>
      <c r="G42" s="1643"/>
      <c r="H42" s="1643"/>
      <c r="I42" s="1643"/>
      <c r="J42" s="1643"/>
      <c r="K42" s="1643"/>
      <c r="L42" s="1644" t="s">
        <v>2124</v>
      </c>
      <c r="M42" s="1645">
        <v>165064.75</v>
      </c>
      <c r="N42" s="1646"/>
      <c r="O42" s="1647">
        <v>72450</v>
      </c>
    </row>
    <row r="43" spans="2:16" ht="24.75" customHeight="1" thickBot="1">
      <c r="B43" s="1643"/>
      <c r="C43" s="1643"/>
      <c r="D43" s="1643"/>
      <c r="E43" s="1643"/>
      <c r="F43" s="1643"/>
      <c r="G43" s="1643"/>
      <c r="H43" s="1643"/>
      <c r="I43" s="1643"/>
      <c r="J43" s="1643"/>
      <c r="K43" s="1643"/>
      <c r="L43" s="1648" t="s">
        <v>1305</v>
      </c>
      <c r="M43" s="1649" t="s">
        <v>2125</v>
      </c>
      <c r="N43" s="1483"/>
      <c r="O43" s="1649" t="s">
        <v>2126</v>
      </c>
    </row>
    <row r="44" spans="2:16" ht="24.75" customHeight="1" thickBot="1">
      <c r="B44" s="1643"/>
      <c r="C44" s="1643"/>
      <c r="D44" s="1643"/>
      <c r="E44" s="1643"/>
      <c r="F44" s="1643"/>
      <c r="G44" s="1643"/>
      <c r="H44" s="1643"/>
      <c r="I44" s="1643"/>
      <c r="J44" s="1643"/>
      <c r="K44" s="1643"/>
      <c r="L44" s="1643"/>
      <c r="M44" s="1643"/>
      <c r="N44" s="1650" t="s">
        <v>2127</v>
      </c>
      <c r="O44" s="1471">
        <v>92614.75</v>
      </c>
    </row>
    <row r="45" spans="2:16" ht="24.75" customHeight="1"/>
    <row r="47" spans="2:16" ht="15.75" thickBot="1"/>
    <row r="48" spans="2:16" ht="75.75" thickBot="1">
      <c r="B48" s="1472" t="s">
        <v>415</v>
      </c>
      <c r="C48" s="1473" t="s">
        <v>402</v>
      </c>
      <c r="D48" s="1473" t="s">
        <v>421</v>
      </c>
      <c r="E48" s="1473" t="s">
        <v>403</v>
      </c>
      <c r="F48" s="1473" t="s">
        <v>4</v>
      </c>
      <c r="G48" s="1473" t="s">
        <v>418</v>
      </c>
      <c r="H48" s="1473" t="s">
        <v>404</v>
      </c>
      <c r="I48" s="1473" t="s">
        <v>405</v>
      </c>
      <c r="J48" s="1473" t="s">
        <v>406</v>
      </c>
      <c r="K48" s="1473" t="s">
        <v>407</v>
      </c>
      <c r="L48" s="1621" t="s">
        <v>1826</v>
      </c>
      <c r="M48" s="1621" t="s">
        <v>1827</v>
      </c>
      <c r="N48" s="1621" t="s">
        <v>1828</v>
      </c>
      <c r="O48" s="1621" t="s">
        <v>1829</v>
      </c>
      <c r="P48" s="1621" t="s">
        <v>2061</v>
      </c>
    </row>
    <row r="49" spans="2:16" ht="15.75" thickBot="1">
      <c r="B49" s="1468" t="s">
        <v>430</v>
      </c>
      <c r="C49" s="1469">
        <v>103</v>
      </c>
      <c r="D49" s="1622">
        <v>42615</v>
      </c>
      <c r="E49" s="1469">
        <v>1100025478</v>
      </c>
      <c r="F49" s="1469">
        <v>10</v>
      </c>
      <c r="G49" s="1469">
        <v>2</v>
      </c>
      <c r="H49" s="1469">
        <v>1318474</v>
      </c>
      <c r="I49" s="1469" t="s">
        <v>2062</v>
      </c>
      <c r="J49" s="1470">
        <v>100</v>
      </c>
      <c r="K49" s="1469" t="s">
        <v>134</v>
      </c>
      <c r="L49" s="1469">
        <v>3000029251</v>
      </c>
      <c r="M49" s="1622">
        <v>42450</v>
      </c>
      <c r="N49" s="1470">
        <v>48</v>
      </c>
      <c r="O49" s="1469" t="s">
        <v>2063</v>
      </c>
      <c r="P49" s="1470">
        <v>1000</v>
      </c>
    </row>
    <row r="50" spans="2:16" ht="15.75" thickBot="1">
      <c r="B50" s="1468" t="s">
        <v>430</v>
      </c>
      <c r="C50" s="1469">
        <v>103</v>
      </c>
      <c r="D50" s="1622">
        <v>42615</v>
      </c>
      <c r="E50" s="1469">
        <v>1100025478</v>
      </c>
      <c r="F50" s="1469">
        <v>20</v>
      </c>
      <c r="G50" s="1469">
        <v>2</v>
      </c>
      <c r="H50" s="1469">
        <v>1318475</v>
      </c>
      <c r="I50" s="1469" t="s">
        <v>2064</v>
      </c>
      <c r="J50" s="1470">
        <v>100</v>
      </c>
      <c r="K50" s="1469" t="s">
        <v>134</v>
      </c>
      <c r="L50" s="1469">
        <v>3000029251</v>
      </c>
      <c r="M50" s="1622">
        <v>42450</v>
      </c>
      <c r="N50" s="1470">
        <v>48</v>
      </c>
      <c r="O50" s="1469" t="s">
        <v>2063</v>
      </c>
      <c r="P50" s="1470">
        <v>1000</v>
      </c>
    </row>
    <row r="51" spans="2:16" ht="180.75" customHeight="1" thickBot="1">
      <c r="B51" s="1468" t="s">
        <v>430</v>
      </c>
      <c r="C51" s="1469">
        <v>103</v>
      </c>
      <c r="D51" s="1622">
        <v>42615</v>
      </c>
      <c r="E51" s="1469">
        <v>1100025478</v>
      </c>
      <c r="F51" s="1469">
        <v>30</v>
      </c>
      <c r="G51" s="1469">
        <v>2</v>
      </c>
      <c r="H51" s="1469">
        <v>1320573</v>
      </c>
      <c r="I51" s="1623" t="s">
        <v>2065</v>
      </c>
      <c r="J51" s="1470">
        <v>4</v>
      </c>
      <c r="K51" s="1469" t="s">
        <v>192</v>
      </c>
      <c r="L51" s="1469">
        <v>3000013127</v>
      </c>
      <c r="M51" s="1622">
        <v>42252</v>
      </c>
      <c r="N51" s="1624">
        <v>1680</v>
      </c>
      <c r="O51" s="1469" t="s">
        <v>2066</v>
      </c>
      <c r="P51" s="1470">
        <v>800</v>
      </c>
    </row>
    <row r="52" spans="2:16" ht="169.5" customHeight="1" thickBot="1">
      <c r="B52" s="1468" t="s">
        <v>430</v>
      </c>
      <c r="C52" s="1469">
        <v>103</v>
      </c>
      <c r="D52" s="1622">
        <v>42615</v>
      </c>
      <c r="E52" s="1469">
        <v>1100025478</v>
      </c>
      <c r="F52" s="1469">
        <v>40</v>
      </c>
      <c r="G52" s="1469">
        <v>2</v>
      </c>
      <c r="H52" s="1469">
        <v>1320572</v>
      </c>
      <c r="I52" s="1623" t="s">
        <v>2067</v>
      </c>
      <c r="J52" s="1470">
        <v>4</v>
      </c>
      <c r="K52" s="1469" t="s">
        <v>192</v>
      </c>
      <c r="L52" s="1469">
        <v>3000013127</v>
      </c>
      <c r="M52" s="1622">
        <v>42252</v>
      </c>
      <c r="N52" s="1624">
        <v>1680</v>
      </c>
      <c r="O52" s="1469" t="s">
        <v>2066</v>
      </c>
      <c r="P52" s="1470">
        <v>800</v>
      </c>
    </row>
    <row r="53" spans="2:16" ht="15.75" thickBot="1">
      <c r="B53" s="1468"/>
      <c r="C53" s="1469"/>
      <c r="D53" s="1469"/>
      <c r="E53" s="1469"/>
      <c r="F53" s="1469"/>
      <c r="G53" s="1469"/>
      <c r="H53" s="1469"/>
      <c r="I53" s="1623"/>
      <c r="J53" s="1469"/>
      <c r="K53" s="1469"/>
      <c r="L53" s="1469"/>
      <c r="M53" s="1469"/>
      <c r="N53" s="1469"/>
      <c r="O53" s="1469"/>
      <c r="P53" s="1625">
        <v>3600</v>
      </c>
    </row>
  </sheetData>
  <mergeCells count="39">
    <mergeCell ref="N20:N21"/>
    <mergeCell ref="H20:H21"/>
    <mergeCell ref="B20:B21"/>
    <mergeCell ref="C20:C21"/>
    <mergeCell ref="D20:D21"/>
    <mergeCell ref="E20:E21"/>
    <mergeCell ref="F20:F21"/>
    <mergeCell ref="N33:N40"/>
    <mergeCell ref="O20:O21"/>
    <mergeCell ref="B22:B32"/>
    <mergeCell ref="C22:C32"/>
    <mergeCell ref="D22:D32"/>
    <mergeCell ref="E22:E32"/>
    <mergeCell ref="F22:F32"/>
    <mergeCell ref="H22:H32"/>
    <mergeCell ref="I22:I32"/>
    <mergeCell ref="J22:J32"/>
    <mergeCell ref="K22:K32"/>
    <mergeCell ref="I20:I21"/>
    <mergeCell ref="J20:J21"/>
    <mergeCell ref="K20:K21"/>
    <mergeCell ref="L20:L21"/>
    <mergeCell ref="M20:M21"/>
    <mergeCell ref="L22:L32"/>
    <mergeCell ref="M22:M32"/>
    <mergeCell ref="N22:N32"/>
    <mergeCell ref="O22:O32"/>
    <mergeCell ref="B33:B40"/>
    <mergeCell ref="C33:C40"/>
    <mergeCell ref="D33:D40"/>
    <mergeCell ref="E33:E40"/>
    <mergeCell ref="F33:F40"/>
    <mergeCell ref="H33:H40"/>
    <mergeCell ref="O33:O40"/>
    <mergeCell ref="I33:I40"/>
    <mergeCell ref="J33:J40"/>
    <mergeCell ref="K33:K40"/>
    <mergeCell ref="L33:L40"/>
    <mergeCell ref="M33:M40"/>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2"/>
  <sheetViews>
    <sheetView workbookViewId="0">
      <selection activeCell="D5" sqref="D5"/>
    </sheetView>
  </sheetViews>
  <sheetFormatPr defaultRowHeight="12.75"/>
  <cols>
    <col min="1" max="2" width="9.140625" style="731"/>
    <col min="3" max="3" width="31.140625" style="731" customWidth="1"/>
    <col min="4" max="5" width="9.140625" style="731"/>
    <col min="6" max="6" width="12" style="731" customWidth="1"/>
    <col min="7" max="7" width="13.7109375" style="731" customWidth="1"/>
    <col min="8" max="8" width="9.140625" style="731" customWidth="1"/>
    <col min="9" max="9" width="11.7109375" style="731" customWidth="1"/>
    <col min="10" max="10" width="11.28515625" style="731" customWidth="1"/>
    <col min="11" max="11" width="11.85546875" style="731" customWidth="1"/>
    <col min="12" max="12" width="12.28515625" style="731" customWidth="1"/>
    <col min="13" max="13" width="13.7109375" style="731" customWidth="1"/>
    <col min="14" max="14" width="9.140625" style="731" customWidth="1"/>
    <col min="15" max="15" width="11.7109375" style="731" customWidth="1"/>
    <col min="16" max="16384" width="9.140625" style="731"/>
  </cols>
  <sheetData>
    <row r="3" spans="2:15">
      <c r="G3" s="1940" t="s">
        <v>1357</v>
      </c>
      <c r="H3" s="1940"/>
      <c r="I3" s="1940"/>
      <c r="J3" s="1940" t="s">
        <v>1358</v>
      </c>
      <c r="K3" s="1940"/>
      <c r="L3" s="1940"/>
      <c r="M3" s="1940" t="s">
        <v>1359</v>
      </c>
      <c r="N3" s="1940"/>
      <c r="O3" s="1940"/>
    </row>
    <row r="4" spans="2:15" ht="38.25">
      <c r="B4" s="732"/>
      <c r="C4" s="733" t="s">
        <v>1360</v>
      </c>
      <c r="D4" s="732"/>
      <c r="E4" s="732"/>
      <c r="F4" s="734" t="s">
        <v>1361</v>
      </c>
      <c r="G4" s="735" t="s">
        <v>1362</v>
      </c>
      <c r="H4" s="734" t="s">
        <v>1363</v>
      </c>
      <c r="I4" s="735" t="s">
        <v>1364</v>
      </c>
      <c r="J4" s="735" t="s">
        <v>1362</v>
      </c>
      <c r="K4" s="734" t="s">
        <v>1363</v>
      </c>
      <c r="L4" s="735" t="s">
        <v>1364</v>
      </c>
      <c r="M4" s="735" t="s">
        <v>1362</v>
      </c>
      <c r="N4" s="734" t="s">
        <v>1363</v>
      </c>
      <c r="O4" s="735" t="s">
        <v>1364</v>
      </c>
    </row>
    <row r="5" spans="2:15" ht="105">
      <c r="B5" s="296">
        <v>1</v>
      </c>
      <c r="C5" s="736" t="s">
        <v>1365</v>
      </c>
      <c r="D5" s="64" t="s">
        <v>1366</v>
      </c>
      <c r="E5" s="737">
        <v>2500</v>
      </c>
      <c r="F5" s="738">
        <v>7.4999999999999997E-2</v>
      </c>
      <c r="G5" s="732">
        <f>2550+(2550*7.5%)</f>
        <v>2741.25</v>
      </c>
      <c r="H5" s="739">
        <f>1-(I5/G5)</f>
        <v>0.75290141358869134</v>
      </c>
      <c r="I5" s="740">
        <v>677.35900000000004</v>
      </c>
      <c r="J5" s="732">
        <f>2550+(2550*7.5%)</f>
        <v>2741.25</v>
      </c>
      <c r="K5" s="739">
        <f>1-(L5/J5)</f>
        <v>0.73005015959872321</v>
      </c>
      <c r="L5" s="55">
        <v>740</v>
      </c>
      <c r="M5" s="732">
        <v>2550</v>
      </c>
      <c r="N5" s="739">
        <f>1-(O5/M5)</f>
        <v>0.72581176470588238</v>
      </c>
      <c r="O5" s="740">
        <v>699.18</v>
      </c>
    </row>
    <row r="6" spans="2:15" ht="120">
      <c r="B6" s="296">
        <v>2</v>
      </c>
      <c r="C6" s="736" t="s">
        <v>1367</v>
      </c>
      <c r="D6" s="64" t="s">
        <v>1366</v>
      </c>
      <c r="E6" s="737">
        <v>500</v>
      </c>
      <c r="F6" s="741" t="s">
        <v>1368</v>
      </c>
      <c r="G6" s="732">
        <f>2550+(2550*7.5%)</f>
        <v>2741.25</v>
      </c>
      <c r="H6" s="739">
        <f>1-(I6/G6)</f>
        <v>0.75290141358869134</v>
      </c>
      <c r="I6" s="740">
        <v>677.35900000000004</v>
      </c>
      <c r="J6" s="732">
        <f>2550+(2550*7.5%)+40</f>
        <v>2781.25</v>
      </c>
      <c r="K6" s="739">
        <f>1-(L6/J6)</f>
        <v>0.71955056179775279</v>
      </c>
      <c r="L6" s="55">
        <v>780</v>
      </c>
      <c r="M6" s="732">
        <v>2550</v>
      </c>
      <c r="N6" s="739">
        <f>1-(O6/M6)</f>
        <v>0.72581176470588238</v>
      </c>
      <c r="O6" s="740">
        <v>699.18</v>
      </c>
    </row>
    <row r="7" spans="2:15" ht="45.75" customHeight="1">
      <c r="B7" s="296">
        <v>3</v>
      </c>
      <c r="C7" s="742" t="s">
        <v>1369</v>
      </c>
      <c r="D7" s="64" t="s">
        <v>1366</v>
      </c>
      <c r="E7" s="737">
        <v>3000</v>
      </c>
      <c r="F7" s="741" t="s">
        <v>1370</v>
      </c>
      <c r="G7" s="732">
        <f>239+(239*10%)</f>
        <v>262.89999999999998</v>
      </c>
      <c r="H7" s="743">
        <f>1-(I7/G7)</f>
        <v>0.7667516165842525</v>
      </c>
      <c r="I7" s="740">
        <v>61.320999999999998</v>
      </c>
      <c r="J7" s="732">
        <f>239+(239*7.5%)</f>
        <v>256.92500000000001</v>
      </c>
      <c r="K7" s="739">
        <f>1-(L7/J7)</f>
        <v>0.73027148000389219</v>
      </c>
      <c r="L7" s="744">
        <v>69.3</v>
      </c>
      <c r="M7" s="732">
        <v>239</v>
      </c>
      <c r="N7" s="739">
        <f>1-(O7/M7)</f>
        <v>0.72581589958158998</v>
      </c>
      <c r="O7" s="740">
        <v>65.53</v>
      </c>
    </row>
    <row r="8" spans="2:15" ht="45">
      <c r="B8" s="745">
        <v>4</v>
      </c>
      <c r="C8" s="742" t="s">
        <v>1371</v>
      </c>
      <c r="D8" s="64" t="s">
        <v>1366</v>
      </c>
      <c r="E8" s="737">
        <v>375</v>
      </c>
      <c r="F8" s="741" t="s">
        <v>1372</v>
      </c>
      <c r="G8" s="732">
        <f>4027+(4027*5%)</f>
        <v>4228.3500000000004</v>
      </c>
      <c r="H8" s="746">
        <f>1-(I8/G8)</f>
        <v>0.71303037827994376</v>
      </c>
      <c r="I8" s="747">
        <v>1213.4079999999999</v>
      </c>
      <c r="J8" s="732">
        <f>4027+(4027*5%)</f>
        <v>4228.3500000000004</v>
      </c>
      <c r="K8" s="739">
        <f>1-(L8/J8)</f>
        <v>0.70484940934407048</v>
      </c>
      <c r="L8" s="748">
        <v>1248</v>
      </c>
      <c r="M8" s="732">
        <v>4027</v>
      </c>
      <c r="N8" s="746">
        <f>1-(O8/M8)</f>
        <v>0.69201390613359814</v>
      </c>
      <c r="O8" s="747">
        <v>1240.26</v>
      </c>
    </row>
    <row r="16" spans="2:15" ht="13.5" thickBot="1"/>
    <row r="17" spans="7:10" ht="13.5" thickBot="1">
      <c r="G17" s="1941" t="s">
        <v>1373</v>
      </c>
      <c r="H17" s="1942"/>
      <c r="I17" s="1942"/>
      <c r="J17" s="1943"/>
    </row>
    <row r="18" spans="7:10">
      <c r="G18" s="749">
        <f>2550+(2550*7.5%)</f>
        <v>2741.25</v>
      </c>
      <c r="H18" s="749">
        <f>G18*(1-0.7668)</f>
        <v>639.25949999999989</v>
      </c>
      <c r="I18" s="749">
        <v>2500</v>
      </c>
      <c r="J18" s="749">
        <f>I18*H18</f>
        <v>1598148.7499999998</v>
      </c>
    </row>
    <row r="19" spans="7:10">
      <c r="G19" s="732">
        <f>2550+(2550*7.5%)</f>
        <v>2741.25</v>
      </c>
      <c r="H19" s="732">
        <f>G19*(1-0.7668)</f>
        <v>639.25949999999989</v>
      </c>
      <c r="I19" s="732">
        <v>500</v>
      </c>
      <c r="J19" s="732">
        <f>I19*H19</f>
        <v>319629.74999999994</v>
      </c>
    </row>
    <row r="20" spans="7:10">
      <c r="G20" s="732">
        <f>239+(239*10%)</f>
        <v>262.89999999999998</v>
      </c>
      <c r="H20" s="732">
        <f>G20*(1-0.7668)</f>
        <v>61.308279999999982</v>
      </c>
      <c r="I20" s="732">
        <v>3000</v>
      </c>
      <c r="J20" s="732">
        <f>I20*H20</f>
        <v>183924.83999999994</v>
      </c>
    </row>
    <row r="21" spans="7:10">
      <c r="G21" s="732">
        <f>4027+(4027*5%)</f>
        <v>4228.3500000000004</v>
      </c>
      <c r="H21" s="732">
        <f>G21*(1-0.7668)</f>
        <v>986.05121999999994</v>
      </c>
      <c r="I21" s="732">
        <v>375</v>
      </c>
      <c r="J21" s="732">
        <f>I21*H21</f>
        <v>369769.20749999996</v>
      </c>
    </row>
    <row r="22" spans="7:10">
      <c r="G22" s="732"/>
      <c r="H22" s="732"/>
      <c r="I22" s="732"/>
      <c r="J22" s="733">
        <f>SUM(J18:J21)</f>
        <v>2471472.5474999999</v>
      </c>
    </row>
  </sheetData>
  <mergeCells count="4">
    <mergeCell ref="G3:I3"/>
    <mergeCell ref="J3:L3"/>
    <mergeCell ref="M3:O3"/>
    <mergeCell ref="G17:J17"/>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zoomScaleNormal="100" workbookViewId="0">
      <selection activeCell="H25" sqref="H25"/>
    </sheetView>
  </sheetViews>
  <sheetFormatPr defaultRowHeight="12.75"/>
  <cols>
    <col min="1" max="1" width="6.140625" style="9" customWidth="1"/>
    <col min="2" max="2" width="52.7109375" style="209" customWidth="1"/>
    <col min="3" max="3" width="12.28515625" style="9" customWidth="1"/>
    <col min="4" max="4" width="10" style="9" customWidth="1"/>
    <col min="5" max="5" width="12.7109375" style="9" customWidth="1"/>
    <col min="6" max="6" width="21.85546875" style="9" customWidth="1"/>
    <col min="7" max="7" width="19.140625" style="9" customWidth="1"/>
    <col min="8" max="8" width="20.5703125" style="9" customWidth="1"/>
    <col min="9" max="9" width="18.85546875" style="9" customWidth="1"/>
    <col min="10" max="10" width="17.5703125" style="9" customWidth="1"/>
    <col min="11" max="11" width="18.85546875" style="9" customWidth="1"/>
    <col min="12" max="12" width="12.7109375" style="9" customWidth="1"/>
    <col min="13" max="13" width="13" style="9" customWidth="1"/>
    <col min="14" max="14" width="12.28515625" style="9" customWidth="1"/>
    <col min="15" max="15" width="13" style="9" customWidth="1"/>
    <col min="16" max="16" width="11.5703125" style="9" customWidth="1"/>
    <col min="17" max="17" width="11.140625" style="9" bestFit="1" customWidth="1"/>
    <col min="18" max="256" width="9.140625" style="9"/>
    <col min="257" max="257" width="4" style="9" customWidth="1"/>
    <col min="258" max="258" width="30.7109375" style="9" customWidth="1"/>
    <col min="259" max="260" width="10" style="9" customWidth="1"/>
    <col min="261" max="261" width="9.85546875" style="9" customWidth="1"/>
    <col min="262" max="262" width="12.42578125" style="9" customWidth="1"/>
    <col min="263" max="268" width="12.7109375" style="9" customWidth="1"/>
    <col min="269" max="269" width="13" style="9" customWidth="1"/>
    <col min="270" max="271" width="12.7109375" style="9" customWidth="1"/>
    <col min="272" max="272" width="9.140625" style="9"/>
    <col min="273" max="273" width="11.140625" style="9" bestFit="1" customWidth="1"/>
    <col min="274" max="512" width="9.140625" style="9"/>
    <col min="513" max="513" width="4" style="9" customWidth="1"/>
    <col min="514" max="514" width="30.7109375" style="9" customWidth="1"/>
    <col min="515" max="516" width="10" style="9" customWidth="1"/>
    <col min="517" max="517" width="9.85546875" style="9" customWidth="1"/>
    <col min="518" max="518" width="12.42578125" style="9" customWidth="1"/>
    <col min="519" max="524" width="12.7109375" style="9" customWidth="1"/>
    <col min="525" max="525" width="13" style="9" customWidth="1"/>
    <col min="526" max="527" width="12.7109375" style="9" customWidth="1"/>
    <col min="528" max="528" width="9.140625" style="9"/>
    <col min="529" max="529" width="11.140625" style="9" bestFit="1" customWidth="1"/>
    <col min="530" max="768" width="9.140625" style="9"/>
    <col min="769" max="769" width="4" style="9" customWidth="1"/>
    <col min="770" max="770" width="30.7109375" style="9" customWidth="1"/>
    <col min="771" max="772" width="10" style="9" customWidth="1"/>
    <col min="773" max="773" width="9.85546875" style="9" customWidth="1"/>
    <col min="774" max="774" width="12.42578125" style="9" customWidth="1"/>
    <col min="775" max="780" width="12.7109375" style="9" customWidth="1"/>
    <col min="781" max="781" width="13" style="9" customWidth="1"/>
    <col min="782" max="783" width="12.7109375" style="9" customWidth="1"/>
    <col min="784" max="784" width="9.140625" style="9"/>
    <col min="785" max="785" width="11.140625" style="9" bestFit="1" customWidth="1"/>
    <col min="786" max="1024" width="9.140625" style="9"/>
    <col min="1025" max="1025" width="4" style="9" customWidth="1"/>
    <col min="1026" max="1026" width="30.7109375" style="9" customWidth="1"/>
    <col min="1027" max="1028" width="10" style="9" customWidth="1"/>
    <col min="1029" max="1029" width="9.85546875" style="9" customWidth="1"/>
    <col min="1030" max="1030" width="12.42578125" style="9" customWidth="1"/>
    <col min="1031" max="1036" width="12.7109375" style="9" customWidth="1"/>
    <col min="1037" max="1037" width="13" style="9" customWidth="1"/>
    <col min="1038" max="1039" width="12.7109375" style="9" customWidth="1"/>
    <col min="1040" max="1040" width="9.140625" style="9"/>
    <col min="1041" max="1041" width="11.140625" style="9" bestFit="1" customWidth="1"/>
    <col min="1042" max="1280" width="9.140625" style="9"/>
    <col min="1281" max="1281" width="4" style="9" customWidth="1"/>
    <col min="1282" max="1282" width="30.7109375" style="9" customWidth="1"/>
    <col min="1283" max="1284" width="10" style="9" customWidth="1"/>
    <col min="1285" max="1285" width="9.85546875" style="9" customWidth="1"/>
    <col min="1286" max="1286" width="12.42578125" style="9" customWidth="1"/>
    <col min="1287" max="1292" width="12.7109375" style="9" customWidth="1"/>
    <col min="1293" max="1293" width="13" style="9" customWidth="1"/>
    <col min="1294" max="1295" width="12.7109375" style="9" customWidth="1"/>
    <col min="1296" max="1296" width="9.140625" style="9"/>
    <col min="1297" max="1297" width="11.140625" style="9" bestFit="1" customWidth="1"/>
    <col min="1298" max="1536" width="9.140625" style="9"/>
    <col min="1537" max="1537" width="4" style="9" customWidth="1"/>
    <col min="1538" max="1538" width="30.7109375" style="9" customWidth="1"/>
    <col min="1539" max="1540" width="10" style="9" customWidth="1"/>
    <col min="1541" max="1541" width="9.85546875" style="9" customWidth="1"/>
    <col min="1542" max="1542" width="12.42578125" style="9" customWidth="1"/>
    <col min="1543" max="1548" width="12.7109375" style="9" customWidth="1"/>
    <col min="1549" max="1549" width="13" style="9" customWidth="1"/>
    <col min="1550" max="1551" width="12.7109375" style="9" customWidth="1"/>
    <col min="1552" max="1552" width="9.140625" style="9"/>
    <col min="1553" max="1553" width="11.140625" style="9" bestFit="1" customWidth="1"/>
    <col min="1554" max="1792" width="9.140625" style="9"/>
    <col min="1793" max="1793" width="4" style="9" customWidth="1"/>
    <col min="1794" max="1794" width="30.7109375" style="9" customWidth="1"/>
    <col min="1795" max="1796" width="10" style="9" customWidth="1"/>
    <col min="1797" max="1797" width="9.85546875" style="9" customWidth="1"/>
    <col min="1798" max="1798" width="12.42578125" style="9" customWidth="1"/>
    <col min="1799" max="1804" width="12.7109375" style="9" customWidth="1"/>
    <col min="1805" max="1805" width="13" style="9" customWidth="1"/>
    <col min="1806" max="1807" width="12.7109375" style="9" customWidth="1"/>
    <col min="1808" max="1808" width="9.140625" style="9"/>
    <col min="1809" max="1809" width="11.140625" style="9" bestFit="1" customWidth="1"/>
    <col min="1810" max="2048" width="9.140625" style="9"/>
    <col min="2049" max="2049" width="4" style="9" customWidth="1"/>
    <col min="2050" max="2050" width="30.7109375" style="9" customWidth="1"/>
    <col min="2051" max="2052" width="10" style="9" customWidth="1"/>
    <col min="2053" max="2053" width="9.85546875" style="9" customWidth="1"/>
    <col min="2054" max="2054" width="12.42578125" style="9" customWidth="1"/>
    <col min="2055" max="2060" width="12.7109375" style="9" customWidth="1"/>
    <col min="2061" max="2061" width="13" style="9" customWidth="1"/>
    <col min="2062" max="2063" width="12.7109375" style="9" customWidth="1"/>
    <col min="2064" max="2064" width="9.140625" style="9"/>
    <col min="2065" max="2065" width="11.140625" style="9" bestFit="1" customWidth="1"/>
    <col min="2066" max="2304" width="9.140625" style="9"/>
    <col min="2305" max="2305" width="4" style="9" customWidth="1"/>
    <col min="2306" max="2306" width="30.7109375" style="9" customWidth="1"/>
    <col min="2307" max="2308" width="10" style="9" customWidth="1"/>
    <col min="2309" max="2309" width="9.85546875" style="9" customWidth="1"/>
    <col min="2310" max="2310" width="12.42578125" style="9" customWidth="1"/>
    <col min="2311" max="2316" width="12.7109375" style="9" customWidth="1"/>
    <col min="2317" max="2317" width="13" style="9" customWidth="1"/>
    <col min="2318" max="2319" width="12.7109375" style="9" customWidth="1"/>
    <col min="2320" max="2320" width="9.140625" style="9"/>
    <col min="2321" max="2321" width="11.140625" style="9" bestFit="1" customWidth="1"/>
    <col min="2322" max="2560" width="9.140625" style="9"/>
    <col min="2561" max="2561" width="4" style="9" customWidth="1"/>
    <col min="2562" max="2562" width="30.7109375" style="9" customWidth="1"/>
    <col min="2563" max="2564" width="10" style="9" customWidth="1"/>
    <col min="2565" max="2565" width="9.85546875" style="9" customWidth="1"/>
    <col min="2566" max="2566" width="12.42578125" style="9" customWidth="1"/>
    <col min="2567" max="2572" width="12.7109375" style="9" customWidth="1"/>
    <col min="2573" max="2573" width="13" style="9" customWidth="1"/>
    <col min="2574" max="2575" width="12.7109375" style="9" customWidth="1"/>
    <col min="2576" max="2576" width="9.140625" style="9"/>
    <col min="2577" max="2577" width="11.140625" style="9" bestFit="1" customWidth="1"/>
    <col min="2578" max="2816" width="9.140625" style="9"/>
    <col min="2817" max="2817" width="4" style="9" customWidth="1"/>
    <col min="2818" max="2818" width="30.7109375" style="9" customWidth="1"/>
    <col min="2819" max="2820" width="10" style="9" customWidth="1"/>
    <col min="2821" max="2821" width="9.85546875" style="9" customWidth="1"/>
    <col min="2822" max="2822" width="12.42578125" style="9" customWidth="1"/>
    <col min="2823" max="2828" width="12.7109375" style="9" customWidth="1"/>
    <col min="2829" max="2829" width="13" style="9" customWidth="1"/>
    <col min="2830" max="2831" width="12.7109375" style="9" customWidth="1"/>
    <col min="2832" max="2832" width="9.140625" style="9"/>
    <col min="2833" max="2833" width="11.140625" style="9" bestFit="1" customWidth="1"/>
    <col min="2834" max="3072" width="9.140625" style="9"/>
    <col min="3073" max="3073" width="4" style="9" customWidth="1"/>
    <col min="3074" max="3074" width="30.7109375" style="9" customWidth="1"/>
    <col min="3075" max="3076" width="10" style="9" customWidth="1"/>
    <col min="3077" max="3077" width="9.85546875" style="9" customWidth="1"/>
    <col min="3078" max="3078" width="12.42578125" style="9" customWidth="1"/>
    <col min="3079" max="3084" width="12.7109375" style="9" customWidth="1"/>
    <col min="3085" max="3085" width="13" style="9" customWidth="1"/>
    <col min="3086" max="3087" width="12.7109375" style="9" customWidth="1"/>
    <col min="3088" max="3088" width="9.140625" style="9"/>
    <col min="3089" max="3089" width="11.140625" style="9" bestFit="1" customWidth="1"/>
    <col min="3090" max="3328" width="9.140625" style="9"/>
    <col min="3329" max="3329" width="4" style="9" customWidth="1"/>
    <col min="3330" max="3330" width="30.7109375" style="9" customWidth="1"/>
    <col min="3331" max="3332" width="10" style="9" customWidth="1"/>
    <col min="3333" max="3333" width="9.85546875" style="9" customWidth="1"/>
    <col min="3334" max="3334" width="12.42578125" style="9" customWidth="1"/>
    <col min="3335" max="3340" width="12.7109375" style="9" customWidth="1"/>
    <col min="3341" max="3341" width="13" style="9" customWidth="1"/>
    <col min="3342" max="3343" width="12.7109375" style="9" customWidth="1"/>
    <col min="3344" max="3344" width="9.140625" style="9"/>
    <col min="3345" max="3345" width="11.140625" style="9" bestFit="1" customWidth="1"/>
    <col min="3346" max="3584" width="9.140625" style="9"/>
    <col min="3585" max="3585" width="4" style="9" customWidth="1"/>
    <col min="3586" max="3586" width="30.7109375" style="9" customWidth="1"/>
    <col min="3587" max="3588" width="10" style="9" customWidth="1"/>
    <col min="3589" max="3589" width="9.85546875" style="9" customWidth="1"/>
    <col min="3590" max="3590" width="12.42578125" style="9" customWidth="1"/>
    <col min="3591" max="3596" width="12.7109375" style="9" customWidth="1"/>
    <col min="3597" max="3597" width="13" style="9" customWidth="1"/>
    <col min="3598" max="3599" width="12.7109375" style="9" customWidth="1"/>
    <col min="3600" max="3600" width="9.140625" style="9"/>
    <col min="3601" max="3601" width="11.140625" style="9" bestFit="1" customWidth="1"/>
    <col min="3602" max="3840" width="9.140625" style="9"/>
    <col min="3841" max="3841" width="4" style="9" customWidth="1"/>
    <col min="3842" max="3842" width="30.7109375" style="9" customWidth="1"/>
    <col min="3843" max="3844" width="10" style="9" customWidth="1"/>
    <col min="3845" max="3845" width="9.85546875" style="9" customWidth="1"/>
    <col min="3846" max="3846" width="12.42578125" style="9" customWidth="1"/>
    <col min="3847" max="3852" width="12.7109375" style="9" customWidth="1"/>
    <col min="3853" max="3853" width="13" style="9" customWidth="1"/>
    <col min="3854" max="3855" width="12.7109375" style="9" customWidth="1"/>
    <col min="3856" max="3856" width="9.140625" style="9"/>
    <col min="3857" max="3857" width="11.140625" style="9" bestFit="1" customWidth="1"/>
    <col min="3858" max="4096" width="9.140625" style="9"/>
    <col min="4097" max="4097" width="4" style="9" customWidth="1"/>
    <col min="4098" max="4098" width="30.7109375" style="9" customWidth="1"/>
    <col min="4099" max="4100" width="10" style="9" customWidth="1"/>
    <col min="4101" max="4101" width="9.85546875" style="9" customWidth="1"/>
    <col min="4102" max="4102" width="12.42578125" style="9" customWidth="1"/>
    <col min="4103" max="4108" width="12.7109375" style="9" customWidth="1"/>
    <col min="4109" max="4109" width="13" style="9" customWidth="1"/>
    <col min="4110" max="4111" width="12.7109375" style="9" customWidth="1"/>
    <col min="4112" max="4112" width="9.140625" style="9"/>
    <col min="4113" max="4113" width="11.140625" style="9" bestFit="1" customWidth="1"/>
    <col min="4114" max="4352" width="9.140625" style="9"/>
    <col min="4353" max="4353" width="4" style="9" customWidth="1"/>
    <col min="4354" max="4354" width="30.7109375" style="9" customWidth="1"/>
    <col min="4355" max="4356" width="10" style="9" customWidth="1"/>
    <col min="4357" max="4357" width="9.85546875" style="9" customWidth="1"/>
    <col min="4358" max="4358" width="12.42578125" style="9" customWidth="1"/>
    <col min="4359" max="4364" width="12.7109375" style="9" customWidth="1"/>
    <col min="4365" max="4365" width="13" style="9" customWidth="1"/>
    <col min="4366" max="4367" width="12.7109375" style="9" customWidth="1"/>
    <col min="4368" max="4368" width="9.140625" style="9"/>
    <col min="4369" max="4369" width="11.140625" style="9" bestFit="1" customWidth="1"/>
    <col min="4370" max="4608" width="9.140625" style="9"/>
    <col min="4609" max="4609" width="4" style="9" customWidth="1"/>
    <col min="4610" max="4610" width="30.7109375" style="9" customWidth="1"/>
    <col min="4611" max="4612" width="10" style="9" customWidth="1"/>
    <col min="4613" max="4613" width="9.85546875" style="9" customWidth="1"/>
    <col min="4614" max="4614" width="12.42578125" style="9" customWidth="1"/>
    <col min="4615" max="4620" width="12.7109375" style="9" customWidth="1"/>
    <col min="4621" max="4621" width="13" style="9" customWidth="1"/>
    <col min="4622" max="4623" width="12.7109375" style="9" customWidth="1"/>
    <col min="4624" max="4624" width="9.140625" style="9"/>
    <col min="4625" max="4625" width="11.140625" style="9" bestFit="1" customWidth="1"/>
    <col min="4626" max="4864" width="9.140625" style="9"/>
    <col min="4865" max="4865" width="4" style="9" customWidth="1"/>
    <col min="4866" max="4866" width="30.7109375" style="9" customWidth="1"/>
    <col min="4867" max="4868" width="10" style="9" customWidth="1"/>
    <col min="4869" max="4869" width="9.85546875" style="9" customWidth="1"/>
    <col min="4870" max="4870" width="12.42578125" style="9" customWidth="1"/>
    <col min="4871" max="4876" width="12.7109375" style="9" customWidth="1"/>
    <col min="4877" max="4877" width="13" style="9" customWidth="1"/>
    <col min="4878" max="4879" width="12.7109375" style="9" customWidth="1"/>
    <col min="4880" max="4880" width="9.140625" style="9"/>
    <col min="4881" max="4881" width="11.140625" style="9" bestFit="1" customWidth="1"/>
    <col min="4882" max="5120" width="9.140625" style="9"/>
    <col min="5121" max="5121" width="4" style="9" customWidth="1"/>
    <col min="5122" max="5122" width="30.7109375" style="9" customWidth="1"/>
    <col min="5123" max="5124" width="10" style="9" customWidth="1"/>
    <col min="5125" max="5125" width="9.85546875" style="9" customWidth="1"/>
    <col min="5126" max="5126" width="12.42578125" style="9" customWidth="1"/>
    <col min="5127" max="5132" width="12.7109375" style="9" customWidth="1"/>
    <col min="5133" max="5133" width="13" style="9" customWidth="1"/>
    <col min="5134" max="5135" width="12.7109375" style="9" customWidth="1"/>
    <col min="5136" max="5136" width="9.140625" style="9"/>
    <col min="5137" max="5137" width="11.140625" style="9" bestFit="1" customWidth="1"/>
    <col min="5138" max="5376" width="9.140625" style="9"/>
    <col min="5377" max="5377" width="4" style="9" customWidth="1"/>
    <col min="5378" max="5378" width="30.7109375" style="9" customWidth="1"/>
    <col min="5379" max="5380" width="10" style="9" customWidth="1"/>
    <col min="5381" max="5381" width="9.85546875" style="9" customWidth="1"/>
    <col min="5382" max="5382" width="12.42578125" style="9" customWidth="1"/>
    <col min="5383" max="5388" width="12.7109375" style="9" customWidth="1"/>
    <col min="5389" max="5389" width="13" style="9" customWidth="1"/>
    <col min="5390" max="5391" width="12.7109375" style="9" customWidth="1"/>
    <col min="5392" max="5392" width="9.140625" style="9"/>
    <col min="5393" max="5393" width="11.140625" style="9" bestFit="1" customWidth="1"/>
    <col min="5394" max="5632" width="9.140625" style="9"/>
    <col min="5633" max="5633" width="4" style="9" customWidth="1"/>
    <col min="5634" max="5634" width="30.7109375" style="9" customWidth="1"/>
    <col min="5635" max="5636" width="10" style="9" customWidth="1"/>
    <col min="5637" max="5637" width="9.85546875" style="9" customWidth="1"/>
    <col min="5638" max="5638" width="12.42578125" style="9" customWidth="1"/>
    <col min="5639" max="5644" width="12.7109375" style="9" customWidth="1"/>
    <col min="5645" max="5645" width="13" style="9" customWidth="1"/>
    <col min="5646" max="5647" width="12.7109375" style="9" customWidth="1"/>
    <col min="5648" max="5648" width="9.140625" style="9"/>
    <col min="5649" max="5649" width="11.140625" style="9" bestFit="1" customWidth="1"/>
    <col min="5650" max="5888" width="9.140625" style="9"/>
    <col min="5889" max="5889" width="4" style="9" customWidth="1"/>
    <col min="5890" max="5890" width="30.7109375" style="9" customWidth="1"/>
    <col min="5891" max="5892" width="10" style="9" customWidth="1"/>
    <col min="5893" max="5893" width="9.85546875" style="9" customWidth="1"/>
    <col min="5894" max="5894" width="12.42578125" style="9" customWidth="1"/>
    <col min="5895" max="5900" width="12.7109375" style="9" customWidth="1"/>
    <col min="5901" max="5901" width="13" style="9" customWidth="1"/>
    <col min="5902" max="5903" width="12.7109375" style="9" customWidth="1"/>
    <col min="5904" max="5904" width="9.140625" style="9"/>
    <col min="5905" max="5905" width="11.140625" style="9" bestFit="1" customWidth="1"/>
    <col min="5906" max="6144" width="9.140625" style="9"/>
    <col min="6145" max="6145" width="4" style="9" customWidth="1"/>
    <col min="6146" max="6146" width="30.7109375" style="9" customWidth="1"/>
    <col min="6147" max="6148" width="10" style="9" customWidth="1"/>
    <col min="6149" max="6149" width="9.85546875" style="9" customWidth="1"/>
    <col min="6150" max="6150" width="12.42578125" style="9" customWidth="1"/>
    <col min="6151" max="6156" width="12.7109375" style="9" customWidth="1"/>
    <col min="6157" max="6157" width="13" style="9" customWidth="1"/>
    <col min="6158" max="6159" width="12.7109375" style="9" customWidth="1"/>
    <col min="6160" max="6160" width="9.140625" style="9"/>
    <col min="6161" max="6161" width="11.140625" style="9" bestFit="1" customWidth="1"/>
    <col min="6162" max="6400" width="9.140625" style="9"/>
    <col min="6401" max="6401" width="4" style="9" customWidth="1"/>
    <col min="6402" max="6402" width="30.7109375" style="9" customWidth="1"/>
    <col min="6403" max="6404" width="10" style="9" customWidth="1"/>
    <col min="6405" max="6405" width="9.85546875" style="9" customWidth="1"/>
    <col min="6406" max="6406" width="12.42578125" style="9" customWidth="1"/>
    <col min="6407" max="6412" width="12.7109375" style="9" customWidth="1"/>
    <col min="6413" max="6413" width="13" style="9" customWidth="1"/>
    <col min="6414" max="6415" width="12.7109375" style="9" customWidth="1"/>
    <col min="6416" max="6416" width="9.140625" style="9"/>
    <col min="6417" max="6417" width="11.140625" style="9" bestFit="1" customWidth="1"/>
    <col min="6418" max="6656" width="9.140625" style="9"/>
    <col min="6657" max="6657" width="4" style="9" customWidth="1"/>
    <col min="6658" max="6658" width="30.7109375" style="9" customWidth="1"/>
    <col min="6659" max="6660" width="10" style="9" customWidth="1"/>
    <col min="6661" max="6661" width="9.85546875" style="9" customWidth="1"/>
    <col min="6662" max="6662" width="12.42578125" style="9" customWidth="1"/>
    <col min="6663" max="6668" width="12.7109375" style="9" customWidth="1"/>
    <col min="6669" max="6669" width="13" style="9" customWidth="1"/>
    <col min="6670" max="6671" width="12.7109375" style="9" customWidth="1"/>
    <col min="6672" max="6672" width="9.140625" style="9"/>
    <col min="6673" max="6673" width="11.140625" style="9" bestFit="1" customWidth="1"/>
    <col min="6674" max="6912" width="9.140625" style="9"/>
    <col min="6913" max="6913" width="4" style="9" customWidth="1"/>
    <col min="6914" max="6914" width="30.7109375" style="9" customWidth="1"/>
    <col min="6915" max="6916" width="10" style="9" customWidth="1"/>
    <col min="6917" max="6917" width="9.85546875" style="9" customWidth="1"/>
    <col min="6918" max="6918" width="12.42578125" style="9" customWidth="1"/>
    <col min="6919" max="6924" width="12.7109375" style="9" customWidth="1"/>
    <col min="6925" max="6925" width="13" style="9" customWidth="1"/>
    <col min="6926" max="6927" width="12.7109375" style="9" customWidth="1"/>
    <col min="6928" max="6928" width="9.140625" style="9"/>
    <col min="6929" max="6929" width="11.140625" style="9" bestFit="1" customWidth="1"/>
    <col min="6930" max="7168" width="9.140625" style="9"/>
    <col min="7169" max="7169" width="4" style="9" customWidth="1"/>
    <col min="7170" max="7170" width="30.7109375" style="9" customWidth="1"/>
    <col min="7171" max="7172" width="10" style="9" customWidth="1"/>
    <col min="7173" max="7173" width="9.85546875" style="9" customWidth="1"/>
    <col min="7174" max="7174" width="12.42578125" style="9" customWidth="1"/>
    <col min="7175" max="7180" width="12.7109375" style="9" customWidth="1"/>
    <col min="7181" max="7181" width="13" style="9" customWidth="1"/>
    <col min="7182" max="7183" width="12.7109375" style="9" customWidth="1"/>
    <col min="7184" max="7184" width="9.140625" style="9"/>
    <col min="7185" max="7185" width="11.140625" style="9" bestFit="1" customWidth="1"/>
    <col min="7186" max="7424" width="9.140625" style="9"/>
    <col min="7425" max="7425" width="4" style="9" customWidth="1"/>
    <col min="7426" max="7426" width="30.7109375" style="9" customWidth="1"/>
    <col min="7427" max="7428" width="10" style="9" customWidth="1"/>
    <col min="7429" max="7429" width="9.85546875" style="9" customWidth="1"/>
    <col min="7430" max="7430" width="12.42578125" style="9" customWidth="1"/>
    <col min="7431" max="7436" width="12.7109375" style="9" customWidth="1"/>
    <col min="7437" max="7437" width="13" style="9" customWidth="1"/>
    <col min="7438" max="7439" width="12.7109375" style="9" customWidth="1"/>
    <col min="7440" max="7440" width="9.140625" style="9"/>
    <col min="7441" max="7441" width="11.140625" style="9" bestFit="1" customWidth="1"/>
    <col min="7442" max="7680" width="9.140625" style="9"/>
    <col min="7681" max="7681" width="4" style="9" customWidth="1"/>
    <col min="7682" max="7682" width="30.7109375" style="9" customWidth="1"/>
    <col min="7683" max="7684" width="10" style="9" customWidth="1"/>
    <col min="7685" max="7685" width="9.85546875" style="9" customWidth="1"/>
    <col min="7686" max="7686" width="12.42578125" style="9" customWidth="1"/>
    <col min="7687" max="7692" width="12.7109375" style="9" customWidth="1"/>
    <col min="7693" max="7693" width="13" style="9" customWidth="1"/>
    <col min="7694" max="7695" width="12.7109375" style="9" customWidth="1"/>
    <col min="7696" max="7696" width="9.140625" style="9"/>
    <col min="7697" max="7697" width="11.140625" style="9" bestFit="1" customWidth="1"/>
    <col min="7698" max="7936" width="9.140625" style="9"/>
    <col min="7937" max="7937" width="4" style="9" customWidth="1"/>
    <col min="7938" max="7938" width="30.7109375" style="9" customWidth="1"/>
    <col min="7939" max="7940" width="10" style="9" customWidth="1"/>
    <col min="7941" max="7941" width="9.85546875" style="9" customWidth="1"/>
    <col min="7942" max="7942" width="12.42578125" style="9" customWidth="1"/>
    <col min="7943" max="7948" width="12.7109375" style="9" customWidth="1"/>
    <col min="7949" max="7949" width="13" style="9" customWidth="1"/>
    <col min="7950" max="7951" width="12.7109375" style="9" customWidth="1"/>
    <col min="7952" max="7952" width="9.140625" style="9"/>
    <col min="7953" max="7953" width="11.140625" style="9" bestFit="1" customWidth="1"/>
    <col min="7954" max="8192" width="9.140625" style="9"/>
    <col min="8193" max="8193" width="4" style="9" customWidth="1"/>
    <col min="8194" max="8194" width="30.7109375" style="9" customWidth="1"/>
    <col min="8195" max="8196" width="10" style="9" customWidth="1"/>
    <col min="8197" max="8197" width="9.85546875" style="9" customWidth="1"/>
    <col min="8198" max="8198" width="12.42578125" style="9" customWidth="1"/>
    <col min="8199" max="8204" width="12.7109375" style="9" customWidth="1"/>
    <col min="8205" max="8205" width="13" style="9" customWidth="1"/>
    <col min="8206" max="8207" width="12.7109375" style="9" customWidth="1"/>
    <col min="8208" max="8208" width="9.140625" style="9"/>
    <col min="8209" max="8209" width="11.140625" style="9" bestFit="1" customWidth="1"/>
    <col min="8210" max="8448" width="9.140625" style="9"/>
    <col min="8449" max="8449" width="4" style="9" customWidth="1"/>
    <col min="8450" max="8450" width="30.7109375" style="9" customWidth="1"/>
    <col min="8451" max="8452" width="10" style="9" customWidth="1"/>
    <col min="8453" max="8453" width="9.85546875" style="9" customWidth="1"/>
    <col min="8454" max="8454" width="12.42578125" style="9" customWidth="1"/>
    <col min="8455" max="8460" width="12.7109375" style="9" customWidth="1"/>
    <col min="8461" max="8461" width="13" style="9" customWidth="1"/>
    <col min="8462" max="8463" width="12.7109375" style="9" customWidth="1"/>
    <col min="8464" max="8464" width="9.140625" style="9"/>
    <col min="8465" max="8465" width="11.140625" style="9" bestFit="1" customWidth="1"/>
    <col min="8466" max="8704" width="9.140625" style="9"/>
    <col min="8705" max="8705" width="4" style="9" customWidth="1"/>
    <col min="8706" max="8706" width="30.7109375" style="9" customWidth="1"/>
    <col min="8707" max="8708" width="10" style="9" customWidth="1"/>
    <col min="8709" max="8709" width="9.85546875" style="9" customWidth="1"/>
    <col min="8710" max="8710" width="12.42578125" style="9" customWidth="1"/>
    <col min="8711" max="8716" width="12.7109375" style="9" customWidth="1"/>
    <col min="8717" max="8717" width="13" style="9" customWidth="1"/>
    <col min="8718" max="8719" width="12.7109375" style="9" customWidth="1"/>
    <col min="8720" max="8720" width="9.140625" style="9"/>
    <col min="8721" max="8721" width="11.140625" style="9" bestFit="1" customWidth="1"/>
    <col min="8722" max="8960" width="9.140625" style="9"/>
    <col min="8961" max="8961" width="4" style="9" customWidth="1"/>
    <col min="8962" max="8962" width="30.7109375" style="9" customWidth="1"/>
    <col min="8963" max="8964" width="10" style="9" customWidth="1"/>
    <col min="8965" max="8965" width="9.85546875" style="9" customWidth="1"/>
    <col min="8966" max="8966" width="12.42578125" style="9" customWidth="1"/>
    <col min="8967" max="8972" width="12.7109375" style="9" customWidth="1"/>
    <col min="8973" max="8973" width="13" style="9" customWidth="1"/>
    <col min="8974" max="8975" width="12.7109375" style="9" customWidth="1"/>
    <col min="8976" max="8976" width="9.140625" style="9"/>
    <col min="8977" max="8977" width="11.140625" style="9" bestFit="1" customWidth="1"/>
    <col min="8978" max="9216" width="9.140625" style="9"/>
    <col min="9217" max="9217" width="4" style="9" customWidth="1"/>
    <col min="9218" max="9218" width="30.7109375" style="9" customWidth="1"/>
    <col min="9219" max="9220" width="10" style="9" customWidth="1"/>
    <col min="9221" max="9221" width="9.85546875" style="9" customWidth="1"/>
    <col min="9222" max="9222" width="12.42578125" style="9" customWidth="1"/>
    <col min="9223" max="9228" width="12.7109375" style="9" customWidth="1"/>
    <col min="9229" max="9229" width="13" style="9" customWidth="1"/>
    <col min="9230" max="9231" width="12.7109375" style="9" customWidth="1"/>
    <col min="9232" max="9232" width="9.140625" style="9"/>
    <col min="9233" max="9233" width="11.140625" style="9" bestFit="1" customWidth="1"/>
    <col min="9234" max="9472" width="9.140625" style="9"/>
    <col min="9473" max="9473" width="4" style="9" customWidth="1"/>
    <col min="9474" max="9474" width="30.7109375" style="9" customWidth="1"/>
    <col min="9475" max="9476" width="10" style="9" customWidth="1"/>
    <col min="9477" max="9477" width="9.85546875" style="9" customWidth="1"/>
    <col min="9478" max="9478" width="12.42578125" style="9" customWidth="1"/>
    <col min="9479" max="9484" width="12.7109375" style="9" customWidth="1"/>
    <col min="9485" max="9485" width="13" style="9" customWidth="1"/>
    <col min="9486" max="9487" width="12.7109375" style="9" customWidth="1"/>
    <col min="9488" max="9488" width="9.140625" style="9"/>
    <col min="9489" max="9489" width="11.140625" style="9" bestFit="1" customWidth="1"/>
    <col min="9490" max="9728" width="9.140625" style="9"/>
    <col min="9729" max="9729" width="4" style="9" customWidth="1"/>
    <col min="9730" max="9730" width="30.7109375" style="9" customWidth="1"/>
    <col min="9731" max="9732" width="10" style="9" customWidth="1"/>
    <col min="9733" max="9733" width="9.85546875" style="9" customWidth="1"/>
    <col min="9734" max="9734" width="12.42578125" style="9" customWidth="1"/>
    <col min="9735" max="9740" width="12.7109375" style="9" customWidth="1"/>
    <col min="9741" max="9741" width="13" style="9" customWidth="1"/>
    <col min="9742" max="9743" width="12.7109375" style="9" customWidth="1"/>
    <col min="9744" max="9744" width="9.140625" style="9"/>
    <col min="9745" max="9745" width="11.140625" style="9" bestFit="1" customWidth="1"/>
    <col min="9746" max="9984" width="9.140625" style="9"/>
    <col min="9985" max="9985" width="4" style="9" customWidth="1"/>
    <col min="9986" max="9986" width="30.7109375" style="9" customWidth="1"/>
    <col min="9987" max="9988" width="10" style="9" customWidth="1"/>
    <col min="9989" max="9989" width="9.85546875" style="9" customWidth="1"/>
    <col min="9990" max="9990" width="12.42578125" style="9" customWidth="1"/>
    <col min="9991" max="9996" width="12.7109375" style="9" customWidth="1"/>
    <col min="9997" max="9997" width="13" style="9" customWidth="1"/>
    <col min="9998" max="9999" width="12.7109375" style="9" customWidth="1"/>
    <col min="10000" max="10000" width="9.140625" style="9"/>
    <col min="10001" max="10001" width="11.140625" style="9" bestFit="1" customWidth="1"/>
    <col min="10002" max="10240" width="9.140625" style="9"/>
    <col min="10241" max="10241" width="4" style="9" customWidth="1"/>
    <col min="10242" max="10242" width="30.7109375" style="9" customWidth="1"/>
    <col min="10243" max="10244" width="10" style="9" customWidth="1"/>
    <col min="10245" max="10245" width="9.85546875" style="9" customWidth="1"/>
    <col min="10246" max="10246" width="12.42578125" style="9" customWidth="1"/>
    <col min="10247" max="10252" width="12.7109375" style="9" customWidth="1"/>
    <col min="10253" max="10253" width="13" style="9" customWidth="1"/>
    <col min="10254" max="10255" width="12.7109375" style="9" customWidth="1"/>
    <col min="10256" max="10256" width="9.140625" style="9"/>
    <col min="10257" max="10257" width="11.140625" style="9" bestFit="1" customWidth="1"/>
    <col min="10258" max="10496" width="9.140625" style="9"/>
    <col min="10497" max="10497" width="4" style="9" customWidth="1"/>
    <col min="10498" max="10498" width="30.7109375" style="9" customWidth="1"/>
    <col min="10499" max="10500" width="10" style="9" customWidth="1"/>
    <col min="10501" max="10501" width="9.85546875" style="9" customWidth="1"/>
    <col min="10502" max="10502" width="12.42578125" style="9" customWidth="1"/>
    <col min="10503" max="10508" width="12.7109375" style="9" customWidth="1"/>
    <col min="10509" max="10509" width="13" style="9" customWidth="1"/>
    <col min="10510" max="10511" width="12.7109375" style="9" customWidth="1"/>
    <col min="10512" max="10512" width="9.140625" style="9"/>
    <col min="10513" max="10513" width="11.140625" style="9" bestFit="1" customWidth="1"/>
    <col min="10514" max="10752" width="9.140625" style="9"/>
    <col min="10753" max="10753" width="4" style="9" customWidth="1"/>
    <col min="10754" max="10754" width="30.7109375" style="9" customWidth="1"/>
    <col min="10755" max="10756" width="10" style="9" customWidth="1"/>
    <col min="10757" max="10757" width="9.85546875" style="9" customWidth="1"/>
    <col min="10758" max="10758" width="12.42578125" style="9" customWidth="1"/>
    <col min="10759" max="10764" width="12.7109375" style="9" customWidth="1"/>
    <col min="10765" max="10765" width="13" style="9" customWidth="1"/>
    <col min="10766" max="10767" width="12.7109375" style="9" customWidth="1"/>
    <col min="10768" max="10768" width="9.140625" style="9"/>
    <col min="10769" max="10769" width="11.140625" style="9" bestFit="1" customWidth="1"/>
    <col min="10770" max="11008" width="9.140625" style="9"/>
    <col min="11009" max="11009" width="4" style="9" customWidth="1"/>
    <col min="11010" max="11010" width="30.7109375" style="9" customWidth="1"/>
    <col min="11011" max="11012" width="10" style="9" customWidth="1"/>
    <col min="11013" max="11013" width="9.85546875" style="9" customWidth="1"/>
    <col min="11014" max="11014" width="12.42578125" style="9" customWidth="1"/>
    <col min="11015" max="11020" width="12.7109375" style="9" customWidth="1"/>
    <col min="11021" max="11021" width="13" style="9" customWidth="1"/>
    <col min="11022" max="11023" width="12.7109375" style="9" customWidth="1"/>
    <col min="11024" max="11024" width="9.140625" style="9"/>
    <col min="11025" max="11025" width="11.140625" style="9" bestFit="1" customWidth="1"/>
    <col min="11026" max="11264" width="9.140625" style="9"/>
    <col min="11265" max="11265" width="4" style="9" customWidth="1"/>
    <col min="11266" max="11266" width="30.7109375" style="9" customWidth="1"/>
    <col min="11267" max="11268" width="10" style="9" customWidth="1"/>
    <col min="11269" max="11269" width="9.85546875" style="9" customWidth="1"/>
    <col min="11270" max="11270" width="12.42578125" style="9" customWidth="1"/>
    <col min="11271" max="11276" width="12.7109375" style="9" customWidth="1"/>
    <col min="11277" max="11277" width="13" style="9" customWidth="1"/>
    <col min="11278" max="11279" width="12.7109375" style="9" customWidth="1"/>
    <col min="11280" max="11280" width="9.140625" style="9"/>
    <col min="11281" max="11281" width="11.140625" style="9" bestFit="1" customWidth="1"/>
    <col min="11282" max="11520" width="9.140625" style="9"/>
    <col min="11521" max="11521" width="4" style="9" customWidth="1"/>
    <col min="11522" max="11522" width="30.7109375" style="9" customWidth="1"/>
    <col min="11523" max="11524" width="10" style="9" customWidth="1"/>
    <col min="11525" max="11525" width="9.85546875" style="9" customWidth="1"/>
    <col min="11526" max="11526" width="12.42578125" style="9" customWidth="1"/>
    <col min="11527" max="11532" width="12.7109375" style="9" customWidth="1"/>
    <col min="11533" max="11533" width="13" style="9" customWidth="1"/>
    <col min="11534" max="11535" width="12.7109375" style="9" customWidth="1"/>
    <col min="11536" max="11536" width="9.140625" style="9"/>
    <col min="11537" max="11537" width="11.140625" style="9" bestFit="1" customWidth="1"/>
    <col min="11538" max="11776" width="9.140625" style="9"/>
    <col min="11777" max="11777" width="4" style="9" customWidth="1"/>
    <col min="11778" max="11778" width="30.7109375" style="9" customWidth="1"/>
    <col min="11779" max="11780" width="10" style="9" customWidth="1"/>
    <col min="11781" max="11781" width="9.85546875" style="9" customWidth="1"/>
    <col min="11782" max="11782" width="12.42578125" style="9" customWidth="1"/>
    <col min="11783" max="11788" width="12.7109375" style="9" customWidth="1"/>
    <col min="11789" max="11789" width="13" style="9" customWidth="1"/>
    <col min="11790" max="11791" width="12.7109375" style="9" customWidth="1"/>
    <col min="11792" max="11792" width="9.140625" style="9"/>
    <col min="11793" max="11793" width="11.140625" style="9" bestFit="1" customWidth="1"/>
    <col min="11794" max="12032" width="9.140625" style="9"/>
    <col min="12033" max="12033" width="4" style="9" customWidth="1"/>
    <col min="12034" max="12034" width="30.7109375" style="9" customWidth="1"/>
    <col min="12035" max="12036" width="10" style="9" customWidth="1"/>
    <col min="12037" max="12037" width="9.85546875" style="9" customWidth="1"/>
    <col min="12038" max="12038" width="12.42578125" style="9" customWidth="1"/>
    <col min="12039" max="12044" width="12.7109375" style="9" customWidth="1"/>
    <col min="12045" max="12045" width="13" style="9" customWidth="1"/>
    <col min="12046" max="12047" width="12.7109375" style="9" customWidth="1"/>
    <col min="12048" max="12048" width="9.140625" style="9"/>
    <col min="12049" max="12049" width="11.140625" style="9" bestFit="1" customWidth="1"/>
    <col min="12050" max="12288" width="9.140625" style="9"/>
    <col min="12289" max="12289" width="4" style="9" customWidth="1"/>
    <col min="12290" max="12290" width="30.7109375" style="9" customWidth="1"/>
    <col min="12291" max="12292" width="10" style="9" customWidth="1"/>
    <col min="12293" max="12293" width="9.85546875" style="9" customWidth="1"/>
    <col min="12294" max="12294" width="12.42578125" style="9" customWidth="1"/>
    <col min="12295" max="12300" width="12.7109375" style="9" customWidth="1"/>
    <col min="12301" max="12301" width="13" style="9" customWidth="1"/>
    <col min="12302" max="12303" width="12.7109375" style="9" customWidth="1"/>
    <col min="12304" max="12304" width="9.140625" style="9"/>
    <col min="12305" max="12305" width="11.140625" style="9" bestFit="1" customWidth="1"/>
    <col min="12306" max="12544" width="9.140625" style="9"/>
    <col min="12545" max="12545" width="4" style="9" customWidth="1"/>
    <col min="12546" max="12546" width="30.7109375" style="9" customWidth="1"/>
    <col min="12547" max="12548" width="10" style="9" customWidth="1"/>
    <col min="12549" max="12549" width="9.85546875" style="9" customWidth="1"/>
    <col min="12550" max="12550" width="12.42578125" style="9" customWidth="1"/>
    <col min="12551" max="12556" width="12.7109375" style="9" customWidth="1"/>
    <col min="12557" max="12557" width="13" style="9" customWidth="1"/>
    <col min="12558" max="12559" width="12.7109375" style="9" customWidth="1"/>
    <col min="12560" max="12560" width="9.140625" style="9"/>
    <col min="12561" max="12561" width="11.140625" style="9" bestFit="1" customWidth="1"/>
    <col min="12562" max="12800" width="9.140625" style="9"/>
    <col min="12801" max="12801" width="4" style="9" customWidth="1"/>
    <col min="12802" max="12802" width="30.7109375" style="9" customWidth="1"/>
    <col min="12803" max="12804" width="10" style="9" customWidth="1"/>
    <col min="12805" max="12805" width="9.85546875" style="9" customWidth="1"/>
    <col min="12806" max="12806" width="12.42578125" style="9" customWidth="1"/>
    <col min="12807" max="12812" width="12.7109375" style="9" customWidth="1"/>
    <col min="12813" max="12813" width="13" style="9" customWidth="1"/>
    <col min="12814" max="12815" width="12.7109375" style="9" customWidth="1"/>
    <col min="12816" max="12816" width="9.140625" style="9"/>
    <col min="12817" max="12817" width="11.140625" style="9" bestFit="1" customWidth="1"/>
    <col min="12818" max="13056" width="9.140625" style="9"/>
    <col min="13057" max="13057" width="4" style="9" customWidth="1"/>
    <col min="13058" max="13058" width="30.7109375" style="9" customWidth="1"/>
    <col min="13059" max="13060" width="10" style="9" customWidth="1"/>
    <col min="13061" max="13061" width="9.85546875" style="9" customWidth="1"/>
    <col min="13062" max="13062" width="12.42578125" style="9" customWidth="1"/>
    <col min="13063" max="13068" width="12.7109375" style="9" customWidth="1"/>
    <col min="13069" max="13069" width="13" style="9" customWidth="1"/>
    <col min="13070" max="13071" width="12.7109375" style="9" customWidth="1"/>
    <col min="13072" max="13072" width="9.140625" style="9"/>
    <col min="13073" max="13073" width="11.140625" style="9" bestFit="1" customWidth="1"/>
    <col min="13074" max="13312" width="9.140625" style="9"/>
    <col min="13313" max="13313" width="4" style="9" customWidth="1"/>
    <col min="13314" max="13314" width="30.7109375" style="9" customWidth="1"/>
    <col min="13315" max="13316" width="10" style="9" customWidth="1"/>
    <col min="13317" max="13317" width="9.85546875" style="9" customWidth="1"/>
    <col min="13318" max="13318" width="12.42578125" style="9" customWidth="1"/>
    <col min="13319" max="13324" width="12.7109375" style="9" customWidth="1"/>
    <col min="13325" max="13325" width="13" style="9" customWidth="1"/>
    <col min="13326" max="13327" width="12.7109375" style="9" customWidth="1"/>
    <col min="13328" max="13328" width="9.140625" style="9"/>
    <col min="13329" max="13329" width="11.140625" style="9" bestFit="1" customWidth="1"/>
    <col min="13330" max="13568" width="9.140625" style="9"/>
    <col min="13569" max="13569" width="4" style="9" customWidth="1"/>
    <col min="13570" max="13570" width="30.7109375" style="9" customWidth="1"/>
    <col min="13571" max="13572" width="10" style="9" customWidth="1"/>
    <col min="13573" max="13573" width="9.85546875" style="9" customWidth="1"/>
    <col min="13574" max="13574" width="12.42578125" style="9" customWidth="1"/>
    <col min="13575" max="13580" width="12.7109375" style="9" customWidth="1"/>
    <col min="13581" max="13581" width="13" style="9" customWidth="1"/>
    <col min="13582" max="13583" width="12.7109375" style="9" customWidth="1"/>
    <col min="13584" max="13584" width="9.140625" style="9"/>
    <col min="13585" max="13585" width="11.140625" style="9" bestFit="1" customWidth="1"/>
    <col min="13586" max="13824" width="9.140625" style="9"/>
    <col min="13825" max="13825" width="4" style="9" customWidth="1"/>
    <col min="13826" max="13826" width="30.7109375" style="9" customWidth="1"/>
    <col min="13827" max="13828" width="10" style="9" customWidth="1"/>
    <col min="13829" max="13829" width="9.85546875" style="9" customWidth="1"/>
    <col min="13830" max="13830" width="12.42578125" style="9" customWidth="1"/>
    <col min="13831" max="13836" width="12.7109375" style="9" customWidth="1"/>
    <col min="13837" max="13837" width="13" style="9" customWidth="1"/>
    <col min="13838" max="13839" width="12.7109375" style="9" customWidth="1"/>
    <col min="13840" max="13840" width="9.140625" style="9"/>
    <col min="13841" max="13841" width="11.140625" style="9" bestFit="1" customWidth="1"/>
    <col min="13842" max="14080" width="9.140625" style="9"/>
    <col min="14081" max="14081" width="4" style="9" customWidth="1"/>
    <col min="14082" max="14082" width="30.7109375" style="9" customWidth="1"/>
    <col min="14083" max="14084" width="10" style="9" customWidth="1"/>
    <col min="14085" max="14085" width="9.85546875" style="9" customWidth="1"/>
    <col min="14086" max="14086" width="12.42578125" style="9" customWidth="1"/>
    <col min="14087" max="14092" width="12.7109375" style="9" customWidth="1"/>
    <col min="14093" max="14093" width="13" style="9" customWidth="1"/>
    <col min="14094" max="14095" width="12.7109375" style="9" customWidth="1"/>
    <col min="14096" max="14096" width="9.140625" style="9"/>
    <col min="14097" max="14097" width="11.140625" style="9" bestFit="1" customWidth="1"/>
    <col min="14098" max="14336" width="9.140625" style="9"/>
    <col min="14337" max="14337" width="4" style="9" customWidth="1"/>
    <col min="14338" max="14338" width="30.7109375" style="9" customWidth="1"/>
    <col min="14339" max="14340" width="10" style="9" customWidth="1"/>
    <col min="14341" max="14341" width="9.85546875" style="9" customWidth="1"/>
    <col min="14342" max="14342" width="12.42578125" style="9" customWidth="1"/>
    <col min="14343" max="14348" width="12.7109375" style="9" customWidth="1"/>
    <col min="14349" max="14349" width="13" style="9" customWidth="1"/>
    <col min="14350" max="14351" width="12.7109375" style="9" customWidth="1"/>
    <col min="14352" max="14352" width="9.140625" style="9"/>
    <col min="14353" max="14353" width="11.140625" style="9" bestFit="1" customWidth="1"/>
    <col min="14354" max="14592" width="9.140625" style="9"/>
    <col min="14593" max="14593" width="4" style="9" customWidth="1"/>
    <col min="14594" max="14594" width="30.7109375" style="9" customWidth="1"/>
    <col min="14595" max="14596" width="10" style="9" customWidth="1"/>
    <col min="14597" max="14597" width="9.85546875" style="9" customWidth="1"/>
    <col min="14598" max="14598" width="12.42578125" style="9" customWidth="1"/>
    <col min="14599" max="14604" width="12.7109375" style="9" customWidth="1"/>
    <col min="14605" max="14605" width="13" style="9" customWidth="1"/>
    <col min="14606" max="14607" width="12.7109375" style="9" customWidth="1"/>
    <col min="14608" max="14608" width="9.140625" style="9"/>
    <col min="14609" max="14609" width="11.140625" style="9" bestFit="1" customWidth="1"/>
    <col min="14610" max="14848" width="9.140625" style="9"/>
    <col min="14849" max="14849" width="4" style="9" customWidth="1"/>
    <col min="14850" max="14850" width="30.7109375" style="9" customWidth="1"/>
    <col min="14851" max="14852" width="10" style="9" customWidth="1"/>
    <col min="14853" max="14853" width="9.85546875" style="9" customWidth="1"/>
    <col min="14854" max="14854" width="12.42578125" style="9" customWidth="1"/>
    <col min="14855" max="14860" width="12.7109375" style="9" customWidth="1"/>
    <col min="14861" max="14861" width="13" style="9" customWidth="1"/>
    <col min="14862" max="14863" width="12.7109375" style="9" customWidth="1"/>
    <col min="14864" max="14864" width="9.140625" style="9"/>
    <col min="14865" max="14865" width="11.140625" style="9" bestFit="1" customWidth="1"/>
    <col min="14866" max="15104" width="9.140625" style="9"/>
    <col min="15105" max="15105" width="4" style="9" customWidth="1"/>
    <col min="15106" max="15106" width="30.7109375" style="9" customWidth="1"/>
    <col min="15107" max="15108" width="10" style="9" customWidth="1"/>
    <col min="15109" max="15109" width="9.85546875" style="9" customWidth="1"/>
    <col min="15110" max="15110" width="12.42578125" style="9" customWidth="1"/>
    <col min="15111" max="15116" width="12.7109375" style="9" customWidth="1"/>
    <col min="15117" max="15117" width="13" style="9" customWidth="1"/>
    <col min="15118" max="15119" width="12.7109375" style="9" customWidth="1"/>
    <col min="15120" max="15120" width="9.140625" style="9"/>
    <col min="15121" max="15121" width="11.140625" style="9" bestFit="1" customWidth="1"/>
    <col min="15122" max="15360" width="9.140625" style="9"/>
    <col min="15361" max="15361" width="4" style="9" customWidth="1"/>
    <col min="15362" max="15362" width="30.7109375" style="9" customWidth="1"/>
    <col min="15363" max="15364" width="10" style="9" customWidth="1"/>
    <col min="15365" max="15365" width="9.85546875" style="9" customWidth="1"/>
    <col min="15366" max="15366" width="12.42578125" style="9" customWidth="1"/>
    <col min="15367" max="15372" width="12.7109375" style="9" customWidth="1"/>
    <col min="15373" max="15373" width="13" style="9" customWidth="1"/>
    <col min="15374" max="15375" width="12.7109375" style="9" customWidth="1"/>
    <col min="15376" max="15376" width="9.140625" style="9"/>
    <col min="15377" max="15377" width="11.140625" style="9" bestFit="1" customWidth="1"/>
    <col min="15378" max="15616" width="9.140625" style="9"/>
    <col min="15617" max="15617" width="4" style="9" customWidth="1"/>
    <col min="15618" max="15618" width="30.7109375" style="9" customWidth="1"/>
    <col min="15619" max="15620" width="10" style="9" customWidth="1"/>
    <col min="15621" max="15621" width="9.85546875" style="9" customWidth="1"/>
    <col min="15622" max="15622" width="12.42578125" style="9" customWidth="1"/>
    <col min="15623" max="15628" width="12.7109375" style="9" customWidth="1"/>
    <col min="15629" max="15629" width="13" style="9" customWidth="1"/>
    <col min="15630" max="15631" width="12.7109375" style="9" customWidth="1"/>
    <col min="15632" max="15632" width="9.140625" style="9"/>
    <col min="15633" max="15633" width="11.140625" style="9" bestFit="1" customWidth="1"/>
    <col min="15634" max="15872" width="9.140625" style="9"/>
    <col min="15873" max="15873" width="4" style="9" customWidth="1"/>
    <col min="15874" max="15874" width="30.7109375" style="9" customWidth="1"/>
    <col min="15875" max="15876" width="10" style="9" customWidth="1"/>
    <col min="15877" max="15877" width="9.85546875" style="9" customWidth="1"/>
    <col min="15878" max="15878" width="12.42578125" style="9" customWidth="1"/>
    <col min="15879" max="15884" width="12.7109375" style="9" customWidth="1"/>
    <col min="15885" max="15885" width="13" style="9" customWidth="1"/>
    <col min="15886" max="15887" width="12.7109375" style="9" customWidth="1"/>
    <col min="15888" max="15888" width="9.140625" style="9"/>
    <col min="15889" max="15889" width="11.140625" style="9" bestFit="1" customWidth="1"/>
    <col min="15890" max="16128" width="9.140625" style="9"/>
    <col min="16129" max="16129" width="4" style="9" customWidth="1"/>
    <col min="16130" max="16130" width="30.7109375" style="9" customWidth="1"/>
    <col min="16131" max="16132" width="10" style="9" customWidth="1"/>
    <col min="16133" max="16133" width="9.85546875" style="9" customWidth="1"/>
    <col min="16134" max="16134" width="12.42578125" style="9" customWidth="1"/>
    <col min="16135" max="16140" width="12.7109375" style="9" customWidth="1"/>
    <col min="16141" max="16141" width="13" style="9" customWidth="1"/>
    <col min="16142" max="16143" width="12.7109375" style="9" customWidth="1"/>
    <col min="16144" max="16144" width="9.140625" style="9"/>
    <col min="16145" max="16145" width="11.140625" style="9" bestFit="1" customWidth="1"/>
    <col min="16146" max="16384" width="9.140625" style="9"/>
  </cols>
  <sheetData>
    <row r="1" spans="1:16" s="7" customFormat="1" ht="13.5" thickBot="1">
      <c r="A1" s="7" t="s">
        <v>15</v>
      </c>
      <c r="B1" s="8"/>
    </row>
    <row r="2" spans="1:16" ht="23.25" thickBot="1">
      <c r="A2" s="1875" t="s">
        <v>16</v>
      </c>
      <c r="B2" s="1876"/>
      <c r="C2" s="1876"/>
      <c r="D2" s="1876"/>
      <c r="E2" s="1876"/>
      <c r="F2" s="1876"/>
      <c r="G2" s="1876"/>
      <c r="H2" s="1876"/>
      <c r="I2" s="1876"/>
      <c r="J2" s="1876"/>
      <c r="K2" s="1876"/>
      <c r="L2" s="1876"/>
      <c r="M2" s="1876"/>
      <c r="N2" s="1876"/>
      <c r="O2" s="1944"/>
    </row>
    <row r="3" spans="1:16" ht="16.5" thickBot="1">
      <c r="A3" s="1877" t="s">
        <v>17</v>
      </c>
      <c r="B3" s="1878"/>
      <c r="C3" s="1878"/>
      <c r="D3" s="1878"/>
      <c r="E3" s="1878"/>
      <c r="F3" s="1878"/>
      <c r="G3" s="1878"/>
      <c r="H3" s="1878"/>
      <c r="I3" s="1878"/>
      <c r="J3" s="1878"/>
      <c r="K3" s="1878"/>
      <c r="L3" s="1878"/>
      <c r="M3" s="1878"/>
      <c r="N3" s="1878"/>
      <c r="O3" s="1945"/>
    </row>
    <row r="4" spans="1:16" ht="25.5">
      <c r="A4" s="10" t="s">
        <v>18</v>
      </c>
      <c r="B4" s="11"/>
      <c r="C4" s="12" t="s">
        <v>19</v>
      </c>
      <c r="D4" s="13"/>
      <c r="E4" s="1879" t="s">
        <v>20</v>
      </c>
      <c r="F4" s="1881"/>
      <c r="G4" s="1882"/>
      <c r="H4" s="14" t="s">
        <v>21</v>
      </c>
      <c r="I4" s="15">
        <f>G40-K40</f>
        <v>964978.14965599962</v>
      </c>
      <c r="J4" s="16" t="s">
        <v>22</v>
      </c>
      <c r="K4" s="17" t="s">
        <v>23</v>
      </c>
      <c r="L4" s="18" t="s">
        <v>24</v>
      </c>
      <c r="M4" s="17" t="s">
        <v>25</v>
      </c>
      <c r="N4" s="17"/>
      <c r="O4" s="17"/>
    </row>
    <row r="5" spans="1:16" ht="26.25" thickBot="1">
      <c r="A5" s="19" t="s">
        <v>26</v>
      </c>
      <c r="B5" s="20"/>
      <c r="C5" s="21" t="s">
        <v>27</v>
      </c>
      <c r="D5" s="22"/>
      <c r="E5" s="1880"/>
      <c r="F5" s="1883"/>
      <c r="G5" s="1884"/>
      <c r="H5" s="23" t="s">
        <v>28</v>
      </c>
      <c r="I5" s="15"/>
      <c r="J5" s="24" t="s">
        <v>29</v>
      </c>
      <c r="K5" s="25"/>
      <c r="L5" s="24" t="s">
        <v>30</v>
      </c>
      <c r="M5" s="25"/>
      <c r="N5" s="25" t="s">
        <v>18</v>
      </c>
      <c r="O5" s="25" t="s">
        <v>31</v>
      </c>
    </row>
    <row r="6" spans="1:16" ht="13.5" thickBot="1">
      <c r="A6" s="26"/>
      <c r="B6" s="27"/>
      <c r="D6" s="28"/>
      <c r="E6" s="29"/>
      <c r="F6" s="30">
        <f>1</f>
        <v>1</v>
      </c>
      <c r="G6" s="28"/>
      <c r="H6" s="31"/>
      <c r="I6" s="28"/>
      <c r="J6" s="31"/>
      <c r="K6" s="28"/>
      <c r="L6" s="28"/>
      <c r="M6" s="28"/>
      <c r="N6" s="28"/>
      <c r="O6" s="28"/>
    </row>
    <row r="7" spans="1:16" ht="31.5" customHeight="1" thickBot="1">
      <c r="A7" s="1946" t="s">
        <v>32</v>
      </c>
      <c r="B7" s="1888" t="s">
        <v>33</v>
      </c>
      <c r="C7" s="1890" t="s">
        <v>34</v>
      </c>
      <c r="D7" s="1892" t="s">
        <v>35</v>
      </c>
      <c r="E7" s="1948" t="s">
        <v>36</v>
      </c>
      <c r="F7" s="1950" t="s">
        <v>37</v>
      </c>
      <c r="G7" s="1951"/>
      <c r="H7" s="1952" t="s">
        <v>38</v>
      </c>
      <c r="I7" s="1953"/>
      <c r="J7" s="1954" t="s">
        <v>39</v>
      </c>
      <c r="K7" s="1872"/>
      <c r="L7" s="1872"/>
      <c r="M7" s="1955"/>
      <c r="N7" s="1872"/>
      <c r="O7" s="1956"/>
    </row>
    <row r="8" spans="1:16" ht="19.5" customHeight="1">
      <c r="A8" s="1947"/>
      <c r="B8" s="1889"/>
      <c r="C8" s="1891"/>
      <c r="D8" s="1893"/>
      <c r="E8" s="1949"/>
      <c r="F8" s="1874" t="s">
        <v>40</v>
      </c>
      <c r="G8" s="1874"/>
      <c r="H8" s="1874" t="s">
        <v>41</v>
      </c>
      <c r="I8" s="1874"/>
      <c r="J8" s="1957" t="s">
        <v>42</v>
      </c>
      <c r="K8" s="1874"/>
      <c r="L8" s="1874"/>
      <c r="M8" s="1958"/>
      <c r="N8" s="1874"/>
      <c r="O8" s="1959"/>
    </row>
    <row r="9" spans="1:16" ht="21.75" customHeight="1" thickBot="1">
      <c r="A9" s="1947"/>
      <c r="B9" s="1889"/>
      <c r="C9" s="1891"/>
      <c r="D9" s="1893"/>
      <c r="E9" s="1949"/>
      <c r="F9" s="1874"/>
      <c r="G9" s="1874"/>
      <c r="H9" s="1874"/>
      <c r="I9" s="1874"/>
      <c r="J9" s="1957"/>
      <c r="K9" s="1874"/>
      <c r="L9" s="1874"/>
      <c r="M9" s="1958"/>
      <c r="N9" s="1874"/>
      <c r="O9" s="1959"/>
      <c r="P9" s="1960"/>
    </row>
    <row r="10" spans="1:16" ht="39" customHeight="1" thickBot="1">
      <c r="A10" s="1947"/>
      <c r="B10" s="1889"/>
      <c r="C10" s="1891"/>
      <c r="D10" s="1893"/>
      <c r="E10" s="1949"/>
      <c r="F10" s="1868" t="s">
        <v>43</v>
      </c>
      <c r="G10" s="1869"/>
      <c r="H10" s="1961" t="s">
        <v>44</v>
      </c>
      <c r="I10" s="1951"/>
      <c r="J10" s="1962" t="s">
        <v>45</v>
      </c>
      <c r="K10" s="1963"/>
      <c r="L10" s="1963"/>
      <c r="M10" s="1964"/>
      <c r="N10" s="1963"/>
      <c r="O10" s="1965"/>
      <c r="P10" s="1960"/>
    </row>
    <row r="11" spans="1:16" ht="13.5" thickBot="1">
      <c r="A11" s="1947"/>
      <c r="B11" s="1889"/>
      <c r="C11" s="1891"/>
      <c r="D11" s="1893"/>
      <c r="E11" s="1949"/>
      <c r="F11" s="1870" t="s">
        <v>46</v>
      </c>
      <c r="G11" s="1871"/>
      <c r="H11" s="1870" t="s">
        <v>46</v>
      </c>
      <c r="I11" s="1871"/>
      <c r="J11" s="1870" t="s">
        <v>46</v>
      </c>
      <c r="K11" s="1871"/>
      <c r="L11" s="1870"/>
      <c r="M11" s="1871"/>
      <c r="N11" s="32"/>
      <c r="O11" s="33"/>
      <c r="P11" s="1960"/>
    </row>
    <row r="12" spans="1:16" ht="13.5" thickBot="1">
      <c r="A12" s="1947"/>
      <c r="B12" s="1889"/>
      <c r="C12" s="1891"/>
      <c r="D12" s="1893"/>
      <c r="E12" s="1949"/>
      <c r="F12" s="34" t="s">
        <v>47</v>
      </c>
      <c r="G12" s="35" t="s">
        <v>48</v>
      </c>
      <c r="H12" s="34" t="s">
        <v>47</v>
      </c>
      <c r="I12" s="35" t="s">
        <v>48</v>
      </c>
      <c r="J12" s="34" t="s">
        <v>47</v>
      </c>
      <c r="K12" s="35" t="s">
        <v>48</v>
      </c>
      <c r="L12" s="36"/>
      <c r="M12" s="37"/>
      <c r="N12" s="38"/>
      <c r="O12" s="39"/>
    </row>
    <row r="13" spans="1:16" ht="15.75">
      <c r="A13" s="40"/>
      <c r="B13" s="41"/>
      <c r="C13" s="42"/>
      <c r="D13" s="43"/>
      <c r="E13" s="44"/>
      <c r="F13" s="45"/>
      <c r="G13" s="46"/>
      <c r="H13" s="47"/>
      <c r="I13" s="48"/>
      <c r="J13" s="42"/>
      <c r="K13" s="44"/>
      <c r="L13" s="47"/>
      <c r="M13" s="49"/>
      <c r="N13" s="49"/>
      <c r="O13" s="44"/>
    </row>
    <row r="14" spans="1:16" ht="89.25">
      <c r="A14" s="50">
        <v>1</v>
      </c>
      <c r="B14" s="51" t="s">
        <v>49</v>
      </c>
      <c r="C14" s="52"/>
      <c r="D14" s="53" t="s">
        <v>50</v>
      </c>
      <c r="E14" s="51">
        <v>1</v>
      </c>
      <c r="F14" s="260">
        <f>26922*1.5</f>
        <v>40383</v>
      </c>
      <c r="G14" s="55">
        <v>26922</v>
      </c>
      <c r="H14" s="56">
        <v>31330</v>
      </c>
      <c r="I14" s="57">
        <f>H14*H6</f>
        <v>0</v>
      </c>
      <c r="J14" s="58">
        <v>25080</v>
      </c>
      <c r="K14" s="58">
        <v>25080</v>
      </c>
      <c r="L14" s="59"/>
      <c r="M14" s="60"/>
      <c r="N14" s="61"/>
      <c r="O14" s="62"/>
    </row>
    <row r="15" spans="1:16" ht="127.5">
      <c r="A15" s="50">
        <v>2</v>
      </c>
      <c r="B15" s="63" t="s">
        <v>51</v>
      </c>
      <c r="C15" s="52"/>
      <c r="D15" s="64" t="s">
        <v>50</v>
      </c>
      <c r="E15" s="63">
        <v>2</v>
      </c>
      <c r="F15" s="260">
        <f>275636*1.5</f>
        <v>413454</v>
      </c>
      <c r="G15" s="55">
        <v>275636</v>
      </c>
      <c r="H15" s="56">
        <v>245260</v>
      </c>
      <c r="I15" s="57">
        <f>H15*H6</f>
        <v>0</v>
      </c>
      <c r="J15" s="58">
        <v>263000</v>
      </c>
      <c r="K15" s="58">
        <v>263000</v>
      </c>
      <c r="L15" s="59"/>
      <c r="M15" s="60"/>
      <c r="N15" s="61"/>
      <c r="O15" s="62"/>
    </row>
    <row r="16" spans="1:16" ht="89.25">
      <c r="A16" s="50">
        <v>3</v>
      </c>
      <c r="B16" s="51" t="s">
        <v>52</v>
      </c>
      <c r="C16" s="52"/>
      <c r="D16" s="64" t="s">
        <v>50</v>
      </c>
      <c r="E16" s="51">
        <v>4</v>
      </c>
      <c r="F16" s="260">
        <f>26922*1.5</f>
        <v>40383</v>
      </c>
      <c r="G16" s="55">
        <v>26922</v>
      </c>
      <c r="H16" s="56">
        <v>34900</v>
      </c>
      <c r="I16" s="57">
        <f>H16*H6</f>
        <v>0</v>
      </c>
      <c r="J16" s="58">
        <v>25080</v>
      </c>
      <c r="K16" s="58">
        <v>25080</v>
      </c>
      <c r="L16" s="59"/>
      <c r="M16" s="60"/>
      <c r="N16" s="61"/>
      <c r="O16" s="62"/>
    </row>
    <row r="17" spans="1:15" ht="89.25">
      <c r="A17" s="50">
        <v>4</v>
      </c>
      <c r="B17" s="51" t="s">
        <v>53</v>
      </c>
      <c r="C17" s="52"/>
      <c r="D17" s="64" t="s">
        <v>50</v>
      </c>
      <c r="E17" s="51">
        <v>1</v>
      </c>
      <c r="F17" s="260">
        <f>39460*1.5</f>
        <v>59190</v>
      </c>
      <c r="G17" s="55">
        <v>39460</v>
      </c>
      <c r="H17" s="65">
        <v>48830</v>
      </c>
      <c r="I17" s="57">
        <f>H17*H6</f>
        <v>0</v>
      </c>
      <c r="J17" s="54">
        <v>53400</v>
      </c>
      <c r="K17" s="54">
        <v>53400</v>
      </c>
      <c r="L17" s="59"/>
      <c r="M17" s="60"/>
      <c r="N17" s="61"/>
      <c r="O17" s="62"/>
    </row>
    <row r="18" spans="1:15" ht="89.25">
      <c r="A18" s="50">
        <v>5</v>
      </c>
      <c r="B18" s="51" t="s">
        <v>54</v>
      </c>
      <c r="C18" s="52"/>
      <c r="D18" s="64" t="s">
        <v>50</v>
      </c>
      <c r="E18" s="51">
        <v>4</v>
      </c>
      <c r="F18" s="260">
        <f>275636*1.5</f>
        <v>413454</v>
      </c>
      <c r="G18" s="55">
        <v>275636</v>
      </c>
      <c r="H18" s="56">
        <v>244150</v>
      </c>
      <c r="I18" s="57">
        <f>H18*H6</f>
        <v>0</v>
      </c>
      <c r="J18" s="54">
        <v>263000</v>
      </c>
      <c r="K18" s="54">
        <v>263000</v>
      </c>
      <c r="L18" s="59"/>
      <c r="M18" s="60"/>
      <c r="N18" s="61"/>
      <c r="O18" s="62"/>
    </row>
    <row r="19" spans="1:15" ht="89.25">
      <c r="A19" s="50">
        <v>6</v>
      </c>
      <c r="B19" s="51" t="s">
        <v>55</v>
      </c>
      <c r="C19" s="52"/>
      <c r="D19" s="64" t="s">
        <v>50</v>
      </c>
      <c r="E19" s="51">
        <v>7</v>
      </c>
      <c r="F19" s="260">
        <f>377665*1.5</f>
        <v>566497.5</v>
      </c>
      <c r="G19" s="55">
        <v>377665</v>
      </c>
      <c r="H19" s="65">
        <v>361030</v>
      </c>
      <c r="I19" s="57">
        <f>H19*H6</f>
        <v>0</v>
      </c>
      <c r="J19" s="54">
        <v>324500</v>
      </c>
      <c r="K19" s="54">
        <v>324500</v>
      </c>
      <c r="L19" s="59"/>
      <c r="M19" s="60"/>
      <c r="N19" s="61"/>
      <c r="O19" s="62"/>
    </row>
    <row r="20" spans="1:15" ht="89.25">
      <c r="A20" s="50">
        <v>7</v>
      </c>
      <c r="B20" s="51" t="s">
        <v>56</v>
      </c>
      <c r="C20" s="52"/>
      <c r="D20" s="64" t="s">
        <v>50</v>
      </c>
      <c r="E20" s="51">
        <v>6</v>
      </c>
      <c r="F20" s="260">
        <f>546615*1.5</f>
        <v>819922.5</v>
      </c>
      <c r="G20" s="55">
        <v>546615</v>
      </c>
      <c r="H20" s="56">
        <v>493910</v>
      </c>
      <c r="I20" s="57">
        <f>H20*H6</f>
        <v>0</v>
      </c>
      <c r="J20" s="58">
        <v>478000</v>
      </c>
      <c r="K20" s="58">
        <v>478000</v>
      </c>
      <c r="L20" s="59"/>
      <c r="M20" s="60"/>
      <c r="N20" s="61"/>
      <c r="O20" s="62"/>
    </row>
    <row r="21" spans="1:15" ht="15">
      <c r="A21" s="50">
        <v>8</v>
      </c>
      <c r="B21" s="51" t="s">
        <v>57</v>
      </c>
      <c r="C21" s="52"/>
      <c r="D21" s="64" t="s">
        <v>50</v>
      </c>
      <c r="E21" s="51">
        <v>17</v>
      </c>
      <c r="F21" s="260">
        <f>2276*1.5</f>
        <v>3414</v>
      </c>
      <c r="G21" s="55">
        <v>2276</v>
      </c>
      <c r="H21" s="65">
        <v>7160</v>
      </c>
      <c r="I21" s="57">
        <f>H21*H6</f>
        <v>0</v>
      </c>
      <c r="J21" s="58">
        <v>6100</v>
      </c>
      <c r="K21" s="58">
        <v>6100</v>
      </c>
      <c r="L21" s="59"/>
      <c r="M21" s="60"/>
      <c r="N21" s="61"/>
      <c r="O21" s="62"/>
    </row>
    <row r="22" spans="1:15" ht="15">
      <c r="A22" s="50"/>
      <c r="B22" s="66"/>
      <c r="C22" s="52"/>
      <c r="D22" s="53"/>
      <c r="E22" s="67"/>
      <c r="F22" s="68"/>
      <c r="G22" s="55"/>
      <c r="H22" s="68"/>
      <c r="I22" s="69"/>
      <c r="J22" s="70"/>
      <c r="K22" s="71"/>
      <c r="L22" s="59"/>
      <c r="M22" s="60"/>
      <c r="N22" s="61"/>
      <c r="O22" s="62"/>
    </row>
    <row r="23" spans="1:15" ht="15">
      <c r="A23" s="50"/>
      <c r="B23" s="66"/>
      <c r="C23" s="52"/>
      <c r="D23" s="64"/>
      <c r="E23" s="67"/>
      <c r="F23" s="72"/>
      <c r="G23" s="73"/>
      <c r="H23" s="74"/>
      <c r="I23" s="75"/>
      <c r="J23" s="76"/>
      <c r="K23" s="71"/>
      <c r="L23" s="59"/>
      <c r="M23" s="60"/>
      <c r="N23" s="61"/>
      <c r="O23" s="62"/>
    </row>
    <row r="24" spans="1:15" ht="13.5" thickBot="1">
      <c r="A24" s="77"/>
      <c r="B24" s="78"/>
      <c r="C24" s="79"/>
      <c r="D24" s="80"/>
      <c r="E24" s="81"/>
      <c r="F24" s="82"/>
      <c r="G24" s="83"/>
      <c r="H24" s="84"/>
      <c r="I24" s="85"/>
      <c r="J24" s="77"/>
      <c r="K24" s="86"/>
      <c r="L24" s="87"/>
      <c r="M24" s="88"/>
      <c r="N24" s="88"/>
      <c r="O24" s="89"/>
    </row>
    <row r="25" spans="1:15" s="7" customFormat="1" ht="13.5" thickBot="1">
      <c r="A25" s="90" t="s">
        <v>58</v>
      </c>
      <c r="B25" s="91"/>
      <c r="C25" s="92"/>
      <c r="D25" s="93"/>
      <c r="E25" s="94">
        <f>SUM(E14:E24)</f>
        <v>42</v>
      </c>
      <c r="F25" s="95">
        <f>SUMPRODUCT(F13:F24, $E$13:$E$24)</f>
        <v>11684884.5</v>
      </c>
      <c r="G25" s="95">
        <f>SUMPRODUCT(G14:G24, $E$14:$E$24)</f>
        <v>7789923</v>
      </c>
      <c r="H25" s="95">
        <f>SUMPRODUCT(H13:H24, $E$13:$E$24)</f>
        <v>7299270</v>
      </c>
      <c r="I25" s="95">
        <f>SUMPRODUCT(I13:I24, $E$13:$E$24)</f>
        <v>0</v>
      </c>
      <c r="J25" s="95">
        <f>SUMPRODUCT(J13:J24, $E$13:$E$24)</f>
        <v>7000000</v>
      </c>
      <c r="K25" s="95">
        <f>SUMPRODUCT(K14:K24, $E$14:$E$24)</f>
        <v>7000000</v>
      </c>
      <c r="L25" s="95">
        <f>SUMPRODUCT(L13:L24, $E$13:$E$24)</f>
        <v>0</v>
      </c>
      <c r="M25" s="96">
        <f>SUMPRODUCT(M13:M24, $E$13:$E$24)</f>
        <v>0</v>
      </c>
      <c r="N25" s="95">
        <f>SUMPRODUCT(N13:N22, $E$13:$E$22)</f>
        <v>0</v>
      </c>
      <c r="O25" s="96"/>
    </row>
    <row r="26" spans="1:15">
      <c r="A26" s="1860" t="s">
        <v>59</v>
      </c>
      <c r="B26" s="1861"/>
      <c r="C26" s="97"/>
      <c r="D26" s="97"/>
      <c r="E26" s="98"/>
      <c r="F26" s="99">
        <f>F25*3%</f>
        <v>350546.53499999997</v>
      </c>
      <c r="G26" s="100"/>
      <c r="H26" s="101">
        <f>H25*2%</f>
        <v>145985.4</v>
      </c>
      <c r="I26" s="99"/>
      <c r="J26" s="99">
        <f>J25*2%</f>
        <v>140000</v>
      </c>
      <c r="K26" s="100"/>
      <c r="L26" s="101">
        <f>L25*3%</f>
        <v>0</v>
      </c>
      <c r="M26" s="99"/>
      <c r="N26" s="99"/>
      <c r="O26" s="99"/>
    </row>
    <row r="27" spans="1:15">
      <c r="A27" s="102" t="s">
        <v>60</v>
      </c>
      <c r="B27" s="103"/>
      <c r="C27" s="97"/>
      <c r="D27" s="97"/>
      <c r="E27" s="98"/>
      <c r="F27" s="104"/>
      <c r="G27" s="105" t="s">
        <v>61</v>
      </c>
      <c r="H27" s="106"/>
      <c r="I27" s="104" t="s">
        <v>61</v>
      </c>
      <c r="J27" s="104"/>
      <c r="K27" s="105" t="s">
        <v>61</v>
      </c>
      <c r="L27" s="106"/>
      <c r="M27" s="104"/>
      <c r="N27" s="104"/>
      <c r="O27" s="104"/>
    </row>
    <row r="28" spans="1:15">
      <c r="A28" s="1862" t="s">
        <v>62</v>
      </c>
      <c r="B28" s="1863"/>
      <c r="C28" s="97"/>
      <c r="D28" s="97"/>
      <c r="E28" s="98"/>
      <c r="F28" s="104">
        <v>600000</v>
      </c>
      <c r="G28" s="105"/>
      <c r="H28" s="106"/>
      <c r="I28" s="104"/>
      <c r="J28" s="104"/>
      <c r="K28" s="105"/>
      <c r="L28" s="106"/>
      <c r="M28" s="104"/>
      <c r="N28" s="104"/>
      <c r="O28" s="104"/>
    </row>
    <row r="29" spans="1:15" ht="12.95" customHeight="1">
      <c r="A29" s="107" t="s">
        <v>63</v>
      </c>
      <c r="B29" s="108"/>
      <c r="C29" s="108"/>
      <c r="D29" s="108"/>
      <c r="E29" s="109"/>
      <c r="F29" s="110">
        <v>0.1236</v>
      </c>
      <c r="G29" s="110">
        <v>0.1236</v>
      </c>
      <c r="H29" s="110">
        <v>0.1236</v>
      </c>
      <c r="I29" s="110">
        <v>0.1236</v>
      </c>
      <c r="J29" s="110">
        <v>0.1236</v>
      </c>
      <c r="K29" s="110">
        <v>0.1236</v>
      </c>
      <c r="L29" s="110"/>
      <c r="M29" s="110"/>
      <c r="N29" s="110"/>
      <c r="O29" s="110"/>
    </row>
    <row r="30" spans="1:15" ht="12.95" customHeight="1">
      <c r="A30" s="107"/>
      <c r="B30" s="108" t="s">
        <v>64</v>
      </c>
      <c r="C30" s="111"/>
      <c r="D30" s="111"/>
      <c r="E30" s="112"/>
      <c r="F30" s="113">
        <f>(F25+F26+F27+F28)*F29</f>
        <v>1561739.275926</v>
      </c>
      <c r="G30" s="114">
        <f>(G25+G26+G28)*G29</f>
        <v>962834.4828</v>
      </c>
      <c r="H30" s="115">
        <f>(H25+H26+H27+H28)*H29</f>
        <v>920233.56744000001</v>
      </c>
      <c r="I30" s="113">
        <f>(I25+I26+I28)*I29</f>
        <v>0</v>
      </c>
      <c r="J30" s="113">
        <f>(J25+J26+J27+J28)*J29</f>
        <v>882504</v>
      </c>
      <c r="K30" s="114">
        <f>(K25+K26+K28)*K29</f>
        <v>865200</v>
      </c>
      <c r="L30" s="115"/>
      <c r="M30" s="113"/>
      <c r="N30" s="113"/>
      <c r="O30" s="113"/>
    </row>
    <row r="31" spans="1:15">
      <c r="A31" s="1862" t="s">
        <v>65</v>
      </c>
      <c r="B31" s="1863"/>
      <c r="C31" s="111"/>
      <c r="D31" s="116"/>
      <c r="E31" s="117"/>
      <c r="F31" s="118"/>
      <c r="G31" s="118"/>
      <c r="H31" s="118">
        <v>0.125</v>
      </c>
      <c r="I31" s="118">
        <v>0.125</v>
      </c>
      <c r="J31" s="118">
        <v>0.125</v>
      </c>
      <c r="K31" s="118">
        <v>0.125</v>
      </c>
      <c r="L31" s="118"/>
      <c r="M31" s="118"/>
      <c r="N31" s="118"/>
      <c r="O31" s="118"/>
    </row>
    <row r="32" spans="1:15" ht="12.95" customHeight="1">
      <c r="A32" s="102"/>
      <c r="B32" s="103" t="s">
        <v>66</v>
      </c>
      <c r="C32" s="111"/>
      <c r="D32" s="116"/>
      <c r="E32" s="117"/>
      <c r="F32" s="113">
        <f>(F30+F26+F27+F28+F25)*F31</f>
        <v>0</v>
      </c>
      <c r="G32" s="114">
        <f>(G30+G26+G28+G25)*G31</f>
        <v>0</v>
      </c>
      <c r="H32" s="115">
        <f>(H30+H26+H27+H28+H25)*H31</f>
        <v>1045686.12093</v>
      </c>
      <c r="I32" s="113">
        <f>(I30+I26+I28+I25)*I31</f>
        <v>0</v>
      </c>
      <c r="J32" s="113">
        <f>(J30+J26+J27+J28+J25)*J31</f>
        <v>1002813</v>
      </c>
      <c r="K32" s="114">
        <f>(K30+K26+K28+K25)*K31</f>
        <v>983150</v>
      </c>
      <c r="L32" s="115"/>
      <c r="M32" s="113"/>
      <c r="N32" s="113"/>
      <c r="O32" s="113"/>
    </row>
    <row r="33" spans="1:15" ht="12.95" customHeight="1">
      <c r="A33" s="102" t="s">
        <v>67</v>
      </c>
      <c r="B33" s="103"/>
      <c r="C33" s="111"/>
      <c r="D33" s="116"/>
      <c r="E33" s="117"/>
      <c r="F33" s="118">
        <v>0.02</v>
      </c>
      <c r="G33" s="118">
        <v>0.02</v>
      </c>
      <c r="H33" s="118"/>
      <c r="I33" s="118"/>
      <c r="J33" s="118"/>
      <c r="K33" s="118"/>
      <c r="L33" s="119"/>
      <c r="M33" s="118"/>
      <c r="N33" s="118"/>
      <c r="O33" s="118"/>
    </row>
    <row r="34" spans="1:15" ht="12.95" customHeight="1">
      <c r="A34" s="102"/>
      <c r="B34" s="103" t="s">
        <v>68</v>
      </c>
      <c r="C34" s="111"/>
      <c r="D34" s="116"/>
      <c r="E34" s="117"/>
      <c r="F34" s="113">
        <f>(F30+F26+F27+F28+F25)*F33</f>
        <v>283943.40621852002</v>
      </c>
      <c r="G34" s="114">
        <f>(G30+G26+G28+G25)*G33</f>
        <v>175055.14965599999</v>
      </c>
      <c r="H34" s="115">
        <f>(H30+H26+H27+H28+H25)*H33</f>
        <v>0</v>
      </c>
      <c r="I34" s="113">
        <f>(I30+I26+I28+I25)*I33</f>
        <v>0</v>
      </c>
      <c r="J34" s="113">
        <f>(J30+J26+J27+J28+J25)*J33</f>
        <v>0</v>
      </c>
      <c r="K34" s="114">
        <f>(K30+K26+K28+K25)*K33</f>
        <v>0</v>
      </c>
      <c r="L34" s="115">
        <f>(L30+L26+L27+L28+L25)*L33</f>
        <v>0</v>
      </c>
      <c r="M34" s="113">
        <f>(M30+M26+M28+M25)*M33</f>
        <v>0</v>
      </c>
      <c r="N34" s="113"/>
      <c r="O34" s="113"/>
    </row>
    <row r="35" spans="1:15" ht="12.95" customHeight="1">
      <c r="A35" s="1862" t="s">
        <v>69</v>
      </c>
      <c r="B35" s="1863"/>
      <c r="C35" s="111"/>
      <c r="D35" s="120"/>
      <c r="E35" s="117"/>
      <c r="F35" s="118"/>
      <c r="G35" s="121"/>
      <c r="H35" s="119"/>
      <c r="I35" s="118"/>
      <c r="J35" s="118"/>
      <c r="K35" s="121"/>
      <c r="L35" s="119"/>
      <c r="M35" s="118"/>
      <c r="N35" s="118"/>
      <c r="O35" s="118"/>
    </row>
    <row r="36" spans="1:15" ht="12.95" customHeight="1">
      <c r="A36" s="122"/>
      <c r="B36" s="123" t="s">
        <v>70</v>
      </c>
      <c r="C36" s="124"/>
      <c r="D36" s="125"/>
      <c r="E36" s="126"/>
      <c r="F36" s="113">
        <f t="shared" ref="F36:M36" si="0">F25*F35</f>
        <v>0</v>
      </c>
      <c r="G36" s="114">
        <f t="shared" si="0"/>
        <v>0</v>
      </c>
      <c r="H36" s="115">
        <f t="shared" si="0"/>
        <v>0</v>
      </c>
      <c r="I36" s="113">
        <f t="shared" si="0"/>
        <v>0</v>
      </c>
      <c r="J36" s="113">
        <f t="shared" si="0"/>
        <v>0</v>
      </c>
      <c r="K36" s="114">
        <f t="shared" si="0"/>
        <v>0</v>
      </c>
      <c r="L36" s="115">
        <f t="shared" si="0"/>
        <v>0</v>
      </c>
      <c r="M36" s="113">
        <f t="shared" si="0"/>
        <v>0</v>
      </c>
      <c r="N36" s="113"/>
      <c r="O36" s="113"/>
    </row>
    <row r="37" spans="1:15" ht="13.5" thickBot="1">
      <c r="A37" s="1864"/>
      <c r="B37" s="1865"/>
      <c r="C37" s="124"/>
      <c r="D37" s="124"/>
      <c r="E37" s="127"/>
      <c r="F37" s="128"/>
      <c r="G37" s="129"/>
      <c r="H37" s="130"/>
      <c r="I37" s="128"/>
      <c r="J37" s="128"/>
      <c r="K37" s="129"/>
      <c r="L37" s="130"/>
      <c r="M37" s="128"/>
      <c r="N37" s="128"/>
      <c r="O37" s="128"/>
    </row>
    <row r="38" spans="1:15" ht="13.5" thickBot="1">
      <c r="A38" s="131" t="s">
        <v>71</v>
      </c>
      <c r="B38" s="132"/>
      <c r="C38" s="132"/>
      <c r="D38" s="132"/>
      <c r="E38" s="133"/>
      <c r="F38" s="134">
        <f>SUM(F25:F37)</f>
        <v>14481113.860744519</v>
      </c>
      <c r="G38" s="135">
        <f t="shared" ref="G38:M38" si="1">SUM(G25:G37)</f>
        <v>8927812.7760559991</v>
      </c>
      <c r="H38" s="134">
        <f>SUM(H25,H26,H28,H30,H32)</f>
        <v>9411175.0883700009</v>
      </c>
      <c r="I38" s="135">
        <f t="shared" si="1"/>
        <v>0.24859999999999999</v>
      </c>
      <c r="J38" s="134">
        <f>SUM(J25:J37)</f>
        <v>9025317.2485999987</v>
      </c>
      <c r="K38" s="135">
        <f>SUM(K25:K37)</f>
        <v>8848350.2485999987</v>
      </c>
      <c r="L38" s="134">
        <f t="shared" si="1"/>
        <v>0</v>
      </c>
      <c r="M38" s="135">
        <f t="shared" si="1"/>
        <v>0</v>
      </c>
      <c r="N38" s="136"/>
      <c r="O38" s="136"/>
    </row>
    <row r="39" spans="1:15" s="142" customFormat="1" ht="13.5" thickBot="1">
      <c r="A39" s="137"/>
      <c r="B39" s="138"/>
      <c r="C39" s="138"/>
      <c r="D39" s="138"/>
      <c r="E39" s="138"/>
      <c r="F39" s="139"/>
      <c r="G39" s="140"/>
      <c r="H39" s="139"/>
      <c r="I39" s="140"/>
      <c r="J39" s="139"/>
      <c r="K39" s="140"/>
      <c r="L39" s="139"/>
      <c r="M39" s="140"/>
      <c r="N39" s="141"/>
      <c r="O39" s="141"/>
    </row>
    <row r="40" spans="1:15" s="7" customFormat="1" ht="13.5" thickBot="1">
      <c r="A40" s="131" t="s">
        <v>72</v>
      </c>
      <c r="B40" s="132"/>
      <c r="C40" s="132"/>
      <c r="D40" s="132"/>
      <c r="E40" s="133"/>
      <c r="F40" s="135">
        <f>F25+F34+F26+F28+F27</f>
        <v>12919374.44121852</v>
      </c>
      <c r="G40" s="143">
        <f>G25+G34</f>
        <v>7964978.1496559996</v>
      </c>
      <c r="H40" s="135">
        <f>H25+H28</f>
        <v>7299270</v>
      </c>
      <c r="I40" s="135">
        <f>I25+I28</f>
        <v>0</v>
      </c>
      <c r="J40" s="135">
        <f>J25+J34+J26+J28+J27</f>
        <v>7140000</v>
      </c>
      <c r="K40" s="143">
        <f>K25+K34+K26+K28</f>
        <v>7000000</v>
      </c>
      <c r="L40" s="135">
        <f>L25+L34+L26+L28</f>
        <v>0</v>
      </c>
      <c r="M40" s="143">
        <f>M25+M34+M26+M28</f>
        <v>0</v>
      </c>
      <c r="N40" s="144"/>
      <c r="O40" s="144"/>
    </row>
    <row r="41" spans="1:15" ht="13.5" thickBot="1">
      <c r="A41" s="145"/>
      <c r="B41" s="146"/>
      <c r="C41" s="147"/>
      <c r="D41" s="147"/>
      <c r="E41" s="148"/>
      <c r="F41" s="149"/>
      <c r="G41" s="150"/>
      <c r="H41" s="149"/>
      <c r="I41" s="151"/>
      <c r="J41" s="149"/>
      <c r="K41" s="150"/>
      <c r="L41" s="152"/>
      <c r="M41" s="153"/>
      <c r="N41" s="154"/>
      <c r="O41" s="154"/>
    </row>
    <row r="42" spans="1:15" ht="153">
      <c r="A42" s="155" t="s">
        <v>73</v>
      </c>
      <c r="B42" s="156" t="s">
        <v>74</v>
      </c>
      <c r="C42" s="157"/>
      <c r="D42" s="157"/>
      <c r="E42" s="158"/>
      <c r="F42" s="159" t="s">
        <v>75</v>
      </c>
      <c r="G42" s="160" t="s">
        <v>76</v>
      </c>
      <c r="H42" s="159" t="s">
        <v>77</v>
      </c>
      <c r="I42" s="159" t="s">
        <v>77</v>
      </c>
      <c r="J42" s="159" t="s">
        <v>76</v>
      </c>
      <c r="K42" s="159" t="s">
        <v>78</v>
      </c>
      <c r="L42" s="161"/>
      <c r="M42" s="162"/>
      <c r="N42" s="163"/>
      <c r="O42" s="163"/>
    </row>
    <row r="43" spans="1:15" ht="26.25" thickBot="1">
      <c r="A43" s="164" t="s">
        <v>79</v>
      </c>
      <c r="B43" s="165" t="s">
        <v>80</v>
      </c>
      <c r="C43" s="166"/>
      <c r="D43" s="166"/>
      <c r="E43" s="167"/>
      <c r="F43" s="159" t="s">
        <v>81</v>
      </c>
      <c r="G43" s="168" t="s">
        <v>82</v>
      </c>
      <c r="H43" s="169" t="s">
        <v>83</v>
      </c>
      <c r="I43" s="170" t="s">
        <v>82</v>
      </c>
      <c r="J43" s="159" t="s">
        <v>84</v>
      </c>
      <c r="K43" s="168" t="s">
        <v>82</v>
      </c>
      <c r="L43" s="171"/>
      <c r="M43" s="172"/>
      <c r="N43" s="159"/>
      <c r="O43" s="159"/>
    </row>
    <row r="44" spans="1:15" ht="102">
      <c r="A44" s="173" t="s">
        <v>85</v>
      </c>
      <c r="B44" s="174" t="s">
        <v>86</v>
      </c>
      <c r="C44" s="175"/>
      <c r="D44" s="175"/>
      <c r="E44" s="176"/>
      <c r="F44" s="177" t="s">
        <v>87</v>
      </c>
      <c r="G44" s="177" t="s">
        <v>88</v>
      </c>
      <c r="H44" s="177" t="s">
        <v>89</v>
      </c>
      <c r="I44" s="177" t="s">
        <v>88</v>
      </c>
      <c r="J44" s="177" t="s">
        <v>87</v>
      </c>
      <c r="K44" s="177" t="s">
        <v>88</v>
      </c>
      <c r="L44" s="178"/>
      <c r="M44" s="179"/>
      <c r="N44" s="180"/>
      <c r="O44" s="180"/>
    </row>
    <row r="45" spans="1:15">
      <c r="A45" s="181" t="s">
        <v>90</v>
      </c>
      <c r="B45" s="175" t="s">
        <v>91</v>
      </c>
      <c r="C45" s="175"/>
      <c r="D45" s="175"/>
      <c r="E45" s="176"/>
      <c r="F45" s="177" t="s">
        <v>92</v>
      </c>
      <c r="G45" s="182" t="s">
        <v>92</v>
      </c>
      <c r="H45" s="182" t="s">
        <v>92</v>
      </c>
      <c r="I45" s="182" t="s">
        <v>92</v>
      </c>
      <c r="J45" s="177" t="s">
        <v>92</v>
      </c>
      <c r="K45" s="182" t="s">
        <v>92</v>
      </c>
      <c r="L45" s="178"/>
      <c r="M45" s="183"/>
      <c r="N45" s="180"/>
      <c r="O45" s="180"/>
    </row>
    <row r="46" spans="1:15" ht="39.950000000000003" customHeight="1">
      <c r="A46" s="181" t="s">
        <v>93</v>
      </c>
      <c r="B46" s="174" t="s">
        <v>94</v>
      </c>
      <c r="C46" s="175"/>
      <c r="D46" s="175"/>
      <c r="E46" s="176"/>
      <c r="F46" s="184"/>
      <c r="G46" s="185"/>
      <c r="H46" s="184"/>
      <c r="I46" s="186"/>
      <c r="J46" s="184"/>
      <c r="K46" s="185"/>
      <c r="L46" s="178"/>
      <c r="M46" s="187"/>
      <c r="N46" s="188"/>
      <c r="O46" s="188"/>
    </row>
    <row r="47" spans="1:15" ht="89.25">
      <c r="A47" s="181" t="s">
        <v>95</v>
      </c>
      <c r="B47" s="174" t="s">
        <v>96</v>
      </c>
      <c r="C47" s="175"/>
      <c r="D47" s="175"/>
      <c r="E47" s="176"/>
      <c r="F47" s="177" t="s">
        <v>97</v>
      </c>
      <c r="G47" s="177" t="s">
        <v>97</v>
      </c>
      <c r="H47" s="177" t="s">
        <v>97</v>
      </c>
      <c r="I47" s="177" t="s">
        <v>98</v>
      </c>
      <c r="J47" s="177" t="s">
        <v>97</v>
      </c>
      <c r="K47" s="177" t="s">
        <v>97</v>
      </c>
      <c r="L47" s="178"/>
      <c r="M47" s="187"/>
      <c r="N47" s="188"/>
      <c r="O47" s="188"/>
    </row>
    <row r="48" spans="1:15" ht="51.75" thickBot="1">
      <c r="A48" s="189" t="s">
        <v>99</v>
      </c>
      <c r="B48" s="190" t="s">
        <v>100</v>
      </c>
      <c r="C48" s="191"/>
      <c r="D48" s="191"/>
      <c r="E48" s="192"/>
      <c r="F48" s="193" t="s">
        <v>101</v>
      </c>
      <c r="G48" s="193" t="s">
        <v>101</v>
      </c>
      <c r="H48" s="193" t="s">
        <v>101</v>
      </c>
      <c r="I48" s="193" t="s">
        <v>101</v>
      </c>
      <c r="J48" s="193" t="s">
        <v>101</v>
      </c>
      <c r="K48" s="193" t="s">
        <v>101</v>
      </c>
      <c r="L48" s="194"/>
      <c r="M48" s="195"/>
      <c r="N48" s="196"/>
      <c r="O48" s="196"/>
    </row>
    <row r="49" spans="1:15" ht="30" customHeight="1">
      <c r="A49" s="1866" t="s">
        <v>102</v>
      </c>
      <c r="B49" s="1867"/>
      <c r="C49" s="1971"/>
      <c r="D49" s="1858" t="s">
        <v>103</v>
      </c>
      <c r="E49" s="1859"/>
      <c r="F49" s="1859"/>
      <c r="G49" s="1859"/>
      <c r="H49" s="1966"/>
      <c r="I49" s="1856" t="s">
        <v>104</v>
      </c>
      <c r="J49" s="1857"/>
      <c r="K49" s="1857"/>
      <c r="L49" s="1857"/>
      <c r="M49" s="1857"/>
      <c r="N49" s="1857"/>
      <c r="O49" s="1967"/>
    </row>
    <row r="50" spans="1:15" ht="13.5" thickBot="1">
      <c r="A50" s="1866"/>
      <c r="B50" s="1867"/>
      <c r="C50" s="1971"/>
      <c r="D50" s="1858"/>
      <c r="E50" s="1859"/>
      <c r="F50" s="1859"/>
      <c r="G50" s="1859"/>
      <c r="H50" s="1966"/>
      <c r="I50" s="1968"/>
      <c r="J50" s="1969"/>
      <c r="K50" s="1969"/>
      <c r="L50" s="1969"/>
      <c r="M50" s="1969"/>
      <c r="N50" s="1969"/>
      <c r="O50" s="1970"/>
    </row>
    <row r="51" spans="1:15">
      <c r="A51" s="149"/>
      <c r="B51" s="197"/>
      <c r="C51" s="152"/>
      <c r="D51" s="152"/>
      <c r="E51" s="198"/>
      <c r="F51" s="152"/>
      <c r="G51" s="152"/>
      <c r="H51" s="152"/>
      <c r="I51" s="152"/>
      <c r="J51" s="152"/>
      <c r="K51" s="152"/>
      <c r="L51" s="152"/>
      <c r="M51" s="152"/>
      <c r="N51" s="152"/>
      <c r="O51" s="199"/>
    </row>
    <row r="52" spans="1:15">
      <c r="A52" s="200"/>
      <c r="B52" s="201"/>
      <c r="C52" s="202"/>
      <c r="D52" s="202"/>
      <c r="E52" s="203"/>
      <c r="F52" s="202"/>
      <c r="G52" s="202"/>
      <c r="H52" s="202"/>
      <c r="I52" s="202"/>
      <c r="J52" s="202"/>
      <c r="K52" s="202"/>
      <c r="L52" s="202"/>
      <c r="M52" s="202"/>
      <c r="N52" s="202"/>
      <c r="O52" s="204"/>
    </row>
    <row r="53" spans="1:15">
      <c r="A53" s="200"/>
      <c r="B53" s="27" t="s">
        <v>105</v>
      </c>
      <c r="C53" s="28"/>
      <c r="D53" s="28"/>
      <c r="E53" s="28" t="s">
        <v>106</v>
      </c>
      <c r="F53" s="202"/>
      <c r="G53" s="28"/>
      <c r="H53" s="28"/>
      <c r="I53" s="28"/>
      <c r="J53" s="28" t="s">
        <v>107</v>
      </c>
      <c r="K53" s="202"/>
      <c r="L53" s="202"/>
      <c r="M53" s="202"/>
      <c r="N53" s="202"/>
      <c r="O53" s="204"/>
    </row>
    <row r="54" spans="1:15" ht="13.5" thickBot="1">
      <c r="A54" s="205"/>
      <c r="B54" s="206"/>
      <c r="C54" s="207"/>
      <c r="D54" s="207"/>
      <c r="E54" s="207"/>
      <c r="F54" s="207"/>
      <c r="G54" s="207"/>
      <c r="H54" s="207"/>
      <c r="I54" s="207"/>
      <c r="J54" s="207"/>
      <c r="K54" s="207"/>
      <c r="L54" s="207"/>
      <c r="M54" s="207"/>
      <c r="N54" s="207"/>
      <c r="O54" s="208"/>
    </row>
  </sheetData>
  <mergeCells count="37">
    <mergeCell ref="D49:H50"/>
    <mergeCell ref="I49:O50"/>
    <mergeCell ref="A26:B26"/>
    <mergeCell ref="A28:B28"/>
    <mergeCell ref="A31:B31"/>
    <mergeCell ref="A35:B35"/>
    <mergeCell ref="A37:B37"/>
    <mergeCell ref="A49:C50"/>
    <mergeCell ref="J8:K9"/>
    <mergeCell ref="L8:M9"/>
    <mergeCell ref="N8:O9"/>
    <mergeCell ref="P9:P11"/>
    <mergeCell ref="F10:G10"/>
    <mergeCell ref="H10:I10"/>
    <mergeCell ref="J10:K10"/>
    <mergeCell ref="L10:M10"/>
    <mergeCell ref="N10:O10"/>
    <mergeCell ref="F11:G11"/>
    <mergeCell ref="H11:I11"/>
    <mergeCell ref="J11:K11"/>
    <mergeCell ref="L11:M11"/>
    <mergeCell ref="A2:O2"/>
    <mergeCell ref="A3:O3"/>
    <mergeCell ref="E4:E5"/>
    <mergeCell ref="F4:G5"/>
    <mergeCell ref="A7:A12"/>
    <mergeCell ref="B7:B12"/>
    <mergeCell ref="C7:C12"/>
    <mergeCell ref="D7:D12"/>
    <mergeCell ref="E7:E12"/>
    <mergeCell ref="F7:G7"/>
    <mergeCell ref="H7:I7"/>
    <mergeCell ref="J7:K7"/>
    <mergeCell ref="L7:M7"/>
    <mergeCell ref="N7:O7"/>
    <mergeCell ref="F8:G9"/>
    <mergeCell ref="H8:I9"/>
  </mergeCells>
  <pageMargins left="0.25" right="0.25" top="0.75" bottom="0.75" header="0.3" footer="0.3"/>
  <pageSetup scale="5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7"/>
  <sheetViews>
    <sheetView topLeftCell="B11" zoomScaleNormal="100" workbookViewId="0">
      <selection activeCell="M28" sqref="M28"/>
    </sheetView>
  </sheetViews>
  <sheetFormatPr defaultRowHeight="12.75"/>
  <cols>
    <col min="1" max="1" width="6.140625" style="9" customWidth="1"/>
    <col min="2" max="2" width="52.7109375" style="209" customWidth="1"/>
    <col min="3" max="4" width="15.42578125" style="9" customWidth="1"/>
    <col min="5" max="5" width="21.42578125" style="9" customWidth="1"/>
    <col min="6" max="6" width="6.140625" style="9" customWidth="1"/>
    <col min="7" max="7" width="12.7109375" style="9" customWidth="1"/>
    <col min="8" max="8" width="21.85546875" style="9" hidden="1" customWidth="1"/>
    <col min="9" max="9" width="19.140625" style="9" hidden="1" customWidth="1"/>
    <col min="10" max="10" width="20.5703125" style="9" hidden="1" customWidth="1"/>
    <col min="11" max="11" width="18.85546875" style="9" hidden="1" customWidth="1"/>
    <col min="12" max="12" width="17.5703125" style="9" customWidth="1"/>
    <col min="13" max="13" width="18.42578125" style="9" customWidth="1"/>
    <col min="14" max="15" width="14.85546875" style="9" customWidth="1"/>
    <col min="16" max="16" width="15" style="9" customWidth="1"/>
    <col min="17" max="17" width="14.5703125" style="9" customWidth="1"/>
    <col min="18" max="18" width="12.42578125" style="9" bestFit="1" customWidth="1"/>
    <col min="19" max="19" width="11.140625" style="9" bestFit="1" customWidth="1"/>
    <col min="20" max="20" width="12.42578125" style="9" customWidth="1"/>
    <col min="21" max="258" width="9.140625" style="9"/>
    <col min="259" max="259" width="4" style="9" customWidth="1"/>
    <col min="260" max="260" width="30.7109375" style="9" customWidth="1"/>
    <col min="261" max="262" width="10" style="9" customWidth="1"/>
    <col min="263" max="263" width="9.85546875" style="9" customWidth="1"/>
    <col min="264" max="264" width="12.42578125" style="9" customWidth="1"/>
    <col min="265" max="270" width="12.7109375" style="9" customWidth="1"/>
    <col min="271" max="271" width="13" style="9" customWidth="1"/>
    <col min="272" max="273" width="12.7109375" style="9" customWidth="1"/>
    <col min="274" max="274" width="9.140625" style="9"/>
    <col min="275" max="275" width="11.140625" style="9" bestFit="1" customWidth="1"/>
    <col min="276" max="514" width="9.140625" style="9"/>
    <col min="515" max="515" width="4" style="9" customWidth="1"/>
    <col min="516" max="516" width="30.7109375" style="9" customWidth="1"/>
    <col min="517" max="518" width="10" style="9" customWidth="1"/>
    <col min="519" max="519" width="9.85546875" style="9" customWidth="1"/>
    <col min="520" max="520" width="12.42578125" style="9" customWidth="1"/>
    <col min="521" max="526" width="12.7109375" style="9" customWidth="1"/>
    <col min="527" max="527" width="13" style="9" customWidth="1"/>
    <col min="528" max="529" width="12.7109375" style="9" customWidth="1"/>
    <col min="530" max="530" width="9.140625" style="9"/>
    <col min="531" max="531" width="11.140625" style="9" bestFit="1" customWidth="1"/>
    <col min="532" max="770" width="9.140625" style="9"/>
    <col min="771" max="771" width="4" style="9" customWidth="1"/>
    <col min="772" max="772" width="30.7109375" style="9" customWidth="1"/>
    <col min="773" max="774" width="10" style="9" customWidth="1"/>
    <col min="775" max="775" width="9.85546875" style="9" customWidth="1"/>
    <col min="776" max="776" width="12.42578125" style="9" customWidth="1"/>
    <col min="777" max="782" width="12.7109375" style="9" customWidth="1"/>
    <col min="783" max="783" width="13" style="9" customWidth="1"/>
    <col min="784" max="785" width="12.7109375" style="9" customWidth="1"/>
    <col min="786" max="786" width="9.140625" style="9"/>
    <col min="787" max="787" width="11.140625" style="9" bestFit="1" customWidth="1"/>
    <col min="788" max="1026" width="9.140625" style="9"/>
    <col min="1027" max="1027" width="4" style="9" customWidth="1"/>
    <col min="1028" max="1028" width="30.7109375" style="9" customWidth="1"/>
    <col min="1029" max="1030" width="10" style="9" customWidth="1"/>
    <col min="1031" max="1031" width="9.85546875" style="9" customWidth="1"/>
    <col min="1032" max="1032" width="12.42578125" style="9" customWidth="1"/>
    <col min="1033" max="1038" width="12.7109375" style="9" customWidth="1"/>
    <col min="1039" max="1039" width="13" style="9" customWidth="1"/>
    <col min="1040" max="1041" width="12.7109375" style="9" customWidth="1"/>
    <col min="1042" max="1042" width="9.140625" style="9"/>
    <col min="1043" max="1043" width="11.140625" style="9" bestFit="1" customWidth="1"/>
    <col min="1044" max="1282" width="9.140625" style="9"/>
    <col min="1283" max="1283" width="4" style="9" customWidth="1"/>
    <col min="1284" max="1284" width="30.7109375" style="9" customWidth="1"/>
    <col min="1285" max="1286" width="10" style="9" customWidth="1"/>
    <col min="1287" max="1287" width="9.85546875" style="9" customWidth="1"/>
    <col min="1288" max="1288" width="12.42578125" style="9" customWidth="1"/>
    <col min="1289" max="1294" width="12.7109375" style="9" customWidth="1"/>
    <col min="1295" max="1295" width="13" style="9" customWidth="1"/>
    <col min="1296" max="1297" width="12.7109375" style="9" customWidth="1"/>
    <col min="1298" max="1298" width="9.140625" style="9"/>
    <col min="1299" max="1299" width="11.140625" style="9" bestFit="1" customWidth="1"/>
    <col min="1300" max="1538" width="9.140625" style="9"/>
    <col min="1539" max="1539" width="4" style="9" customWidth="1"/>
    <col min="1540" max="1540" width="30.7109375" style="9" customWidth="1"/>
    <col min="1541" max="1542" width="10" style="9" customWidth="1"/>
    <col min="1543" max="1543" width="9.85546875" style="9" customWidth="1"/>
    <col min="1544" max="1544" width="12.42578125" style="9" customWidth="1"/>
    <col min="1545" max="1550" width="12.7109375" style="9" customWidth="1"/>
    <col min="1551" max="1551" width="13" style="9" customWidth="1"/>
    <col min="1552" max="1553" width="12.7109375" style="9" customWidth="1"/>
    <col min="1554" max="1554" width="9.140625" style="9"/>
    <col min="1555" max="1555" width="11.140625" style="9" bestFit="1" customWidth="1"/>
    <col min="1556" max="1794" width="9.140625" style="9"/>
    <col min="1795" max="1795" width="4" style="9" customWidth="1"/>
    <col min="1796" max="1796" width="30.7109375" style="9" customWidth="1"/>
    <col min="1797" max="1798" width="10" style="9" customWidth="1"/>
    <col min="1799" max="1799" width="9.85546875" style="9" customWidth="1"/>
    <col min="1800" max="1800" width="12.42578125" style="9" customWidth="1"/>
    <col min="1801" max="1806" width="12.7109375" style="9" customWidth="1"/>
    <col min="1807" max="1807" width="13" style="9" customWidth="1"/>
    <col min="1808" max="1809" width="12.7109375" style="9" customWidth="1"/>
    <col min="1810" max="1810" width="9.140625" style="9"/>
    <col min="1811" max="1811" width="11.140625" style="9" bestFit="1" customWidth="1"/>
    <col min="1812" max="2050" width="9.140625" style="9"/>
    <col min="2051" max="2051" width="4" style="9" customWidth="1"/>
    <col min="2052" max="2052" width="30.7109375" style="9" customWidth="1"/>
    <col min="2053" max="2054" width="10" style="9" customWidth="1"/>
    <col min="2055" max="2055" width="9.85546875" style="9" customWidth="1"/>
    <col min="2056" max="2056" width="12.42578125" style="9" customWidth="1"/>
    <col min="2057" max="2062" width="12.7109375" style="9" customWidth="1"/>
    <col min="2063" max="2063" width="13" style="9" customWidth="1"/>
    <col min="2064" max="2065" width="12.7109375" style="9" customWidth="1"/>
    <col min="2066" max="2066" width="9.140625" style="9"/>
    <col min="2067" max="2067" width="11.140625" style="9" bestFit="1" customWidth="1"/>
    <col min="2068" max="2306" width="9.140625" style="9"/>
    <col min="2307" max="2307" width="4" style="9" customWidth="1"/>
    <col min="2308" max="2308" width="30.7109375" style="9" customWidth="1"/>
    <col min="2309" max="2310" width="10" style="9" customWidth="1"/>
    <col min="2311" max="2311" width="9.85546875" style="9" customWidth="1"/>
    <col min="2312" max="2312" width="12.42578125" style="9" customWidth="1"/>
    <col min="2313" max="2318" width="12.7109375" style="9" customWidth="1"/>
    <col min="2319" max="2319" width="13" style="9" customWidth="1"/>
    <col min="2320" max="2321" width="12.7109375" style="9" customWidth="1"/>
    <col min="2322" max="2322" width="9.140625" style="9"/>
    <col min="2323" max="2323" width="11.140625" style="9" bestFit="1" customWidth="1"/>
    <col min="2324" max="2562" width="9.140625" style="9"/>
    <col min="2563" max="2563" width="4" style="9" customWidth="1"/>
    <col min="2564" max="2564" width="30.7109375" style="9" customWidth="1"/>
    <col min="2565" max="2566" width="10" style="9" customWidth="1"/>
    <col min="2567" max="2567" width="9.85546875" style="9" customWidth="1"/>
    <col min="2568" max="2568" width="12.42578125" style="9" customWidth="1"/>
    <col min="2569" max="2574" width="12.7109375" style="9" customWidth="1"/>
    <col min="2575" max="2575" width="13" style="9" customWidth="1"/>
    <col min="2576" max="2577" width="12.7109375" style="9" customWidth="1"/>
    <col min="2578" max="2578" width="9.140625" style="9"/>
    <col min="2579" max="2579" width="11.140625" style="9" bestFit="1" customWidth="1"/>
    <col min="2580" max="2818" width="9.140625" style="9"/>
    <col min="2819" max="2819" width="4" style="9" customWidth="1"/>
    <col min="2820" max="2820" width="30.7109375" style="9" customWidth="1"/>
    <col min="2821" max="2822" width="10" style="9" customWidth="1"/>
    <col min="2823" max="2823" width="9.85546875" style="9" customWidth="1"/>
    <col min="2824" max="2824" width="12.42578125" style="9" customWidth="1"/>
    <col min="2825" max="2830" width="12.7109375" style="9" customWidth="1"/>
    <col min="2831" max="2831" width="13" style="9" customWidth="1"/>
    <col min="2832" max="2833" width="12.7109375" style="9" customWidth="1"/>
    <col min="2834" max="2834" width="9.140625" style="9"/>
    <col min="2835" max="2835" width="11.140625" style="9" bestFit="1" customWidth="1"/>
    <col min="2836" max="3074" width="9.140625" style="9"/>
    <col min="3075" max="3075" width="4" style="9" customWidth="1"/>
    <col min="3076" max="3076" width="30.7109375" style="9" customWidth="1"/>
    <col min="3077" max="3078" width="10" style="9" customWidth="1"/>
    <col min="3079" max="3079" width="9.85546875" style="9" customWidth="1"/>
    <col min="3080" max="3080" width="12.42578125" style="9" customWidth="1"/>
    <col min="3081" max="3086" width="12.7109375" style="9" customWidth="1"/>
    <col min="3087" max="3087" width="13" style="9" customWidth="1"/>
    <col min="3088" max="3089" width="12.7109375" style="9" customWidth="1"/>
    <col min="3090" max="3090" width="9.140625" style="9"/>
    <col min="3091" max="3091" width="11.140625" style="9" bestFit="1" customWidth="1"/>
    <col min="3092" max="3330" width="9.140625" style="9"/>
    <col min="3331" max="3331" width="4" style="9" customWidth="1"/>
    <col min="3332" max="3332" width="30.7109375" style="9" customWidth="1"/>
    <col min="3333" max="3334" width="10" style="9" customWidth="1"/>
    <col min="3335" max="3335" width="9.85546875" style="9" customWidth="1"/>
    <col min="3336" max="3336" width="12.42578125" style="9" customWidth="1"/>
    <col min="3337" max="3342" width="12.7109375" style="9" customWidth="1"/>
    <col min="3343" max="3343" width="13" style="9" customWidth="1"/>
    <col min="3344" max="3345" width="12.7109375" style="9" customWidth="1"/>
    <col min="3346" max="3346" width="9.140625" style="9"/>
    <col min="3347" max="3347" width="11.140625" style="9" bestFit="1" customWidth="1"/>
    <col min="3348" max="3586" width="9.140625" style="9"/>
    <col min="3587" max="3587" width="4" style="9" customWidth="1"/>
    <col min="3588" max="3588" width="30.7109375" style="9" customWidth="1"/>
    <col min="3589" max="3590" width="10" style="9" customWidth="1"/>
    <col min="3591" max="3591" width="9.85546875" style="9" customWidth="1"/>
    <col min="3592" max="3592" width="12.42578125" style="9" customWidth="1"/>
    <col min="3593" max="3598" width="12.7109375" style="9" customWidth="1"/>
    <col min="3599" max="3599" width="13" style="9" customWidth="1"/>
    <col min="3600" max="3601" width="12.7109375" style="9" customWidth="1"/>
    <col min="3602" max="3602" width="9.140625" style="9"/>
    <col min="3603" max="3603" width="11.140625" style="9" bestFit="1" customWidth="1"/>
    <col min="3604" max="3842" width="9.140625" style="9"/>
    <col min="3843" max="3843" width="4" style="9" customWidth="1"/>
    <col min="3844" max="3844" width="30.7109375" style="9" customWidth="1"/>
    <col min="3845" max="3846" width="10" style="9" customWidth="1"/>
    <col min="3847" max="3847" width="9.85546875" style="9" customWidth="1"/>
    <col min="3848" max="3848" width="12.42578125" style="9" customWidth="1"/>
    <col min="3849" max="3854" width="12.7109375" style="9" customWidth="1"/>
    <col min="3855" max="3855" width="13" style="9" customWidth="1"/>
    <col min="3856" max="3857" width="12.7109375" style="9" customWidth="1"/>
    <col min="3858" max="3858" width="9.140625" style="9"/>
    <col min="3859" max="3859" width="11.140625" style="9" bestFit="1" customWidth="1"/>
    <col min="3860" max="4098" width="9.140625" style="9"/>
    <col min="4099" max="4099" width="4" style="9" customWidth="1"/>
    <col min="4100" max="4100" width="30.7109375" style="9" customWidth="1"/>
    <col min="4101" max="4102" width="10" style="9" customWidth="1"/>
    <col min="4103" max="4103" width="9.85546875" style="9" customWidth="1"/>
    <col min="4104" max="4104" width="12.42578125" style="9" customWidth="1"/>
    <col min="4105" max="4110" width="12.7109375" style="9" customWidth="1"/>
    <col min="4111" max="4111" width="13" style="9" customWidth="1"/>
    <col min="4112" max="4113" width="12.7109375" style="9" customWidth="1"/>
    <col min="4114" max="4114" width="9.140625" style="9"/>
    <col min="4115" max="4115" width="11.140625" style="9" bestFit="1" customWidth="1"/>
    <col min="4116" max="4354" width="9.140625" style="9"/>
    <col min="4355" max="4355" width="4" style="9" customWidth="1"/>
    <col min="4356" max="4356" width="30.7109375" style="9" customWidth="1"/>
    <col min="4357" max="4358" width="10" style="9" customWidth="1"/>
    <col min="4359" max="4359" width="9.85546875" style="9" customWidth="1"/>
    <col min="4360" max="4360" width="12.42578125" style="9" customWidth="1"/>
    <col min="4361" max="4366" width="12.7109375" style="9" customWidth="1"/>
    <col min="4367" max="4367" width="13" style="9" customWidth="1"/>
    <col min="4368" max="4369" width="12.7109375" style="9" customWidth="1"/>
    <col min="4370" max="4370" width="9.140625" style="9"/>
    <col min="4371" max="4371" width="11.140625" style="9" bestFit="1" customWidth="1"/>
    <col min="4372" max="4610" width="9.140625" style="9"/>
    <col min="4611" max="4611" width="4" style="9" customWidth="1"/>
    <col min="4612" max="4612" width="30.7109375" style="9" customWidth="1"/>
    <col min="4613" max="4614" width="10" style="9" customWidth="1"/>
    <col min="4615" max="4615" width="9.85546875" style="9" customWidth="1"/>
    <col min="4616" max="4616" width="12.42578125" style="9" customWidth="1"/>
    <col min="4617" max="4622" width="12.7109375" style="9" customWidth="1"/>
    <col min="4623" max="4623" width="13" style="9" customWidth="1"/>
    <col min="4624" max="4625" width="12.7109375" style="9" customWidth="1"/>
    <col min="4626" max="4626" width="9.140625" style="9"/>
    <col min="4627" max="4627" width="11.140625" style="9" bestFit="1" customWidth="1"/>
    <col min="4628" max="4866" width="9.140625" style="9"/>
    <col min="4867" max="4867" width="4" style="9" customWidth="1"/>
    <col min="4868" max="4868" width="30.7109375" style="9" customWidth="1"/>
    <col min="4869" max="4870" width="10" style="9" customWidth="1"/>
    <col min="4871" max="4871" width="9.85546875" style="9" customWidth="1"/>
    <col min="4872" max="4872" width="12.42578125" style="9" customWidth="1"/>
    <col min="4873" max="4878" width="12.7109375" style="9" customWidth="1"/>
    <col min="4879" max="4879" width="13" style="9" customWidth="1"/>
    <col min="4880" max="4881" width="12.7109375" style="9" customWidth="1"/>
    <col min="4882" max="4882" width="9.140625" style="9"/>
    <col min="4883" max="4883" width="11.140625" style="9" bestFit="1" customWidth="1"/>
    <col min="4884" max="5122" width="9.140625" style="9"/>
    <col min="5123" max="5123" width="4" style="9" customWidth="1"/>
    <col min="5124" max="5124" width="30.7109375" style="9" customWidth="1"/>
    <col min="5125" max="5126" width="10" style="9" customWidth="1"/>
    <col min="5127" max="5127" width="9.85546875" style="9" customWidth="1"/>
    <col min="5128" max="5128" width="12.42578125" style="9" customWidth="1"/>
    <col min="5129" max="5134" width="12.7109375" style="9" customWidth="1"/>
    <col min="5135" max="5135" width="13" style="9" customWidth="1"/>
    <col min="5136" max="5137" width="12.7109375" style="9" customWidth="1"/>
    <col min="5138" max="5138" width="9.140625" style="9"/>
    <col min="5139" max="5139" width="11.140625" style="9" bestFit="1" customWidth="1"/>
    <col min="5140" max="5378" width="9.140625" style="9"/>
    <col min="5379" max="5379" width="4" style="9" customWidth="1"/>
    <col min="5380" max="5380" width="30.7109375" style="9" customWidth="1"/>
    <col min="5381" max="5382" width="10" style="9" customWidth="1"/>
    <col min="5383" max="5383" width="9.85546875" style="9" customWidth="1"/>
    <col min="5384" max="5384" width="12.42578125" style="9" customWidth="1"/>
    <col min="5385" max="5390" width="12.7109375" style="9" customWidth="1"/>
    <col min="5391" max="5391" width="13" style="9" customWidth="1"/>
    <col min="5392" max="5393" width="12.7109375" style="9" customWidth="1"/>
    <col min="5394" max="5394" width="9.140625" style="9"/>
    <col min="5395" max="5395" width="11.140625" style="9" bestFit="1" customWidth="1"/>
    <col min="5396" max="5634" width="9.140625" style="9"/>
    <col min="5635" max="5635" width="4" style="9" customWidth="1"/>
    <col min="5636" max="5636" width="30.7109375" style="9" customWidth="1"/>
    <col min="5637" max="5638" width="10" style="9" customWidth="1"/>
    <col min="5639" max="5639" width="9.85546875" style="9" customWidth="1"/>
    <col min="5640" max="5640" width="12.42578125" style="9" customWidth="1"/>
    <col min="5641" max="5646" width="12.7109375" style="9" customWidth="1"/>
    <col min="5647" max="5647" width="13" style="9" customWidth="1"/>
    <col min="5648" max="5649" width="12.7109375" style="9" customWidth="1"/>
    <col min="5650" max="5650" width="9.140625" style="9"/>
    <col min="5651" max="5651" width="11.140625" style="9" bestFit="1" customWidth="1"/>
    <col min="5652" max="5890" width="9.140625" style="9"/>
    <col min="5891" max="5891" width="4" style="9" customWidth="1"/>
    <col min="5892" max="5892" width="30.7109375" style="9" customWidth="1"/>
    <col min="5893" max="5894" width="10" style="9" customWidth="1"/>
    <col min="5895" max="5895" width="9.85546875" style="9" customWidth="1"/>
    <col min="5896" max="5896" width="12.42578125" style="9" customWidth="1"/>
    <col min="5897" max="5902" width="12.7109375" style="9" customWidth="1"/>
    <col min="5903" max="5903" width="13" style="9" customWidth="1"/>
    <col min="5904" max="5905" width="12.7109375" style="9" customWidth="1"/>
    <col min="5906" max="5906" width="9.140625" style="9"/>
    <col min="5907" max="5907" width="11.140625" style="9" bestFit="1" customWidth="1"/>
    <col min="5908" max="6146" width="9.140625" style="9"/>
    <col min="6147" max="6147" width="4" style="9" customWidth="1"/>
    <col min="6148" max="6148" width="30.7109375" style="9" customWidth="1"/>
    <col min="6149" max="6150" width="10" style="9" customWidth="1"/>
    <col min="6151" max="6151" width="9.85546875" style="9" customWidth="1"/>
    <col min="6152" max="6152" width="12.42578125" style="9" customWidth="1"/>
    <col min="6153" max="6158" width="12.7109375" style="9" customWidth="1"/>
    <col min="6159" max="6159" width="13" style="9" customWidth="1"/>
    <col min="6160" max="6161" width="12.7109375" style="9" customWidth="1"/>
    <col min="6162" max="6162" width="9.140625" style="9"/>
    <col min="6163" max="6163" width="11.140625" style="9" bestFit="1" customWidth="1"/>
    <col min="6164" max="6402" width="9.140625" style="9"/>
    <col min="6403" max="6403" width="4" style="9" customWidth="1"/>
    <col min="6404" max="6404" width="30.7109375" style="9" customWidth="1"/>
    <col min="6405" max="6406" width="10" style="9" customWidth="1"/>
    <col min="6407" max="6407" width="9.85546875" style="9" customWidth="1"/>
    <col min="6408" max="6408" width="12.42578125" style="9" customWidth="1"/>
    <col min="6409" max="6414" width="12.7109375" style="9" customWidth="1"/>
    <col min="6415" max="6415" width="13" style="9" customWidth="1"/>
    <col min="6416" max="6417" width="12.7109375" style="9" customWidth="1"/>
    <col min="6418" max="6418" width="9.140625" style="9"/>
    <col min="6419" max="6419" width="11.140625" style="9" bestFit="1" customWidth="1"/>
    <col min="6420" max="6658" width="9.140625" style="9"/>
    <col min="6659" max="6659" width="4" style="9" customWidth="1"/>
    <col min="6660" max="6660" width="30.7109375" style="9" customWidth="1"/>
    <col min="6661" max="6662" width="10" style="9" customWidth="1"/>
    <col min="6663" max="6663" width="9.85546875" style="9" customWidth="1"/>
    <col min="6664" max="6664" width="12.42578125" style="9" customWidth="1"/>
    <col min="6665" max="6670" width="12.7109375" style="9" customWidth="1"/>
    <col min="6671" max="6671" width="13" style="9" customWidth="1"/>
    <col min="6672" max="6673" width="12.7109375" style="9" customWidth="1"/>
    <col min="6674" max="6674" width="9.140625" style="9"/>
    <col min="6675" max="6675" width="11.140625" style="9" bestFit="1" customWidth="1"/>
    <col min="6676" max="6914" width="9.140625" style="9"/>
    <col min="6915" max="6915" width="4" style="9" customWidth="1"/>
    <col min="6916" max="6916" width="30.7109375" style="9" customWidth="1"/>
    <col min="6917" max="6918" width="10" style="9" customWidth="1"/>
    <col min="6919" max="6919" width="9.85546875" style="9" customWidth="1"/>
    <col min="6920" max="6920" width="12.42578125" style="9" customWidth="1"/>
    <col min="6921" max="6926" width="12.7109375" style="9" customWidth="1"/>
    <col min="6927" max="6927" width="13" style="9" customWidth="1"/>
    <col min="6928" max="6929" width="12.7109375" style="9" customWidth="1"/>
    <col min="6930" max="6930" width="9.140625" style="9"/>
    <col min="6931" max="6931" width="11.140625" style="9" bestFit="1" customWidth="1"/>
    <col min="6932" max="7170" width="9.140625" style="9"/>
    <col min="7171" max="7171" width="4" style="9" customWidth="1"/>
    <col min="7172" max="7172" width="30.7109375" style="9" customWidth="1"/>
    <col min="7173" max="7174" width="10" style="9" customWidth="1"/>
    <col min="7175" max="7175" width="9.85546875" style="9" customWidth="1"/>
    <col min="7176" max="7176" width="12.42578125" style="9" customWidth="1"/>
    <col min="7177" max="7182" width="12.7109375" style="9" customWidth="1"/>
    <col min="7183" max="7183" width="13" style="9" customWidth="1"/>
    <col min="7184" max="7185" width="12.7109375" style="9" customWidth="1"/>
    <col min="7186" max="7186" width="9.140625" style="9"/>
    <col min="7187" max="7187" width="11.140625" style="9" bestFit="1" customWidth="1"/>
    <col min="7188" max="7426" width="9.140625" style="9"/>
    <col min="7427" max="7427" width="4" style="9" customWidth="1"/>
    <col min="7428" max="7428" width="30.7109375" style="9" customWidth="1"/>
    <col min="7429" max="7430" width="10" style="9" customWidth="1"/>
    <col min="7431" max="7431" width="9.85546875" style="9" customWidth="1"/>
    <col min="7432" max="7432" width="12.42578125" style="9" customWidth="1"/>
    <col min="7433" max="7438" width="12.7109375" style="9" customWidth="1"/>
    <col min="7439" max="7439" width="13" style="9" customWidth="1"/>
    <col min="7440" max="7441" width="12.7109375" style="9" customWidth="1"/>
    <col min="7442" max="7442" width="9.140625" style="9"/>
    <col min="7443" max="7443" width="11.140625" style="9" bestFit="1" customWidth="1"/>
    <col min="7444" max="7682" width="9.140625" style="9"/>
    <col min="7683" max="7683" width="4" style="9" customWidth="1"/>
    <col min="7684" max="7684" width="30.7109375" style="9" customWidth="1"/>
    <col min="7685" max="7686" width="10" style="9" customWidth="1"/>
    <col min="7687" max="7687" width="9.85546875" style="9" customWidth="1"/>
    <col min="7688" max="7688" width="12.42578125" style="9" customWidth="1"/>
    <col min="7689" max="7694" width="12.7109375" style="9" customWidth="1"/>
    <col min="7695" max="7695" width="13" style="9" customWidth="1"/>
    <col min="7696" max="7697" width="12.7109375" style="9" customWidth="1"/>
    <col min="7698" max="7698" width="9.140625" style="9"/>
    <col min="7699" max="7699" width="11.140625" style="9" bestFit="1" customWidth="1"/>
    <col min="7700" max="7938" width="9.140625" style="9"/>
    <col min="7939" max="7939" width="4" style="9" customWidth="1"/>
    <col min="7940" max="7940" width="30.7109375" style="9" customWidth="1"/>
    <col min="7941" max="7942" width="10" style="9" customWidth="1"/>
    <col min="7943" max="7943" width="9.85546875" style="9" customWidth="1"/>
    <col min="7944" max="7944" width="12.42578125" style="9" customWidth="1"/>
    <col min="7945" max="7950" width="12.7109375" style="9" customWidth="1"/>
    <col min="7951" max="7951" width="13" style="9" customWidth="1"/>
    <col min="7952" max="7953" width="12.7109375" style="9" customWidth="1"/>
    <col min="7954" max="7954" width="9.140625" style="9"/>
    <col min="7955" max="7955" width="11.140625" style="9" bestFit="1" customWidth="1"/>
    <col min="7956" max="8194" width="9.140625" style="9"/>
    <col min="8195" max="8195" width="4" style="9" customWidth="1"/>
    <col min="8196" max="8196" width="30.7109375" style="9" customWidth="1"/>
    <col min="8197" max="8198" width="10" style="9" customWidth="1"/>
    <col min="8199" max="8199" width="9.85546875" style="9" customWidth="1"/>
    <col min="8200" max="8200" width="12.42578125" style="9" customWidth="1"/>
    <col min="8201" max="8206" width="12.7109375" style="9" customWidth="1"/>
    <col min="8207" max="8207" width="13" style="9" customWidth="1"/>
    <col min="8208" max="8209" width="12.7109375" style="9" customWidth="1"/>
    <col min="8210" max="8210" width="9.140625" style="9"/>
    <col min="8211" max="8211" width="11.140625" style="9" bestFit="1" customWidth="1"/>
    <col min="8212" max="8450" width="9.140625" style="9"/>
    <col min="8451" max="8451" width="4" style="9" customWidth="1"/>
    <col min="8452" max="8452" width="30.7109375" style="9" customWidth="1"/>
    <col min="8453" max="8454" width="10" style="9" customWidth="1"/>
    <col min="8455" max="8455" width="9.85546875" style="9" customWidth="1"/>
    <col min="8456" max="8456" width="12.42578125" style="9" customWidth="1"/>
    <col min="8457" max="8462" width="12.7109375" style="9" customWidth="1"/>
    <col min="8463" max="8463" width="13" style="9" customWidth="1"/>
    <col min="8464" max="8465" width="12.7109375" style="9" customWidth="1"/>
    <col min="8466" max="8466" width="9.140625" style="9"/>
    <col min="8467" max="8467" width="11.140625" style="9" bestFit="1" customWidth="1"/>
    <col min="8468" max="8706" width="9.140625" style="9"/>
    <col min="8707" max="8707" width="4" style="9" customWidth="1"/>
    <col min="8708" max="8708" width="30.7109375" style="9" customWidth="1"/>
    <col min="8709" max="8710" width="10" style="9" customWidth="1"/>
    <col min="8711" max="8711" width="9.85546875" style="9" customWidth="1"/>
    <col min="8712" max="8712" width="12.42578125" style="9" customWidth="1"/>
    <col min="8713" max="8718" width="12.7109375" style="9" customWidth="1"/>
    <col min="8719" max="8719" width="13" style="9" customWidth="1"/>
    <col min="8720" max="8721" width="12.7109375" style="9" customWidth="1"/>
    <col min="8722" max="8722" width="9.140625" style="9"/>
    <col min="8723" max="8723" width="11.140625" style="9" bestFit="1" customWidth="1"/>
    <col min="8724" max="8962" width="9.140625" style="9"/>
    <col min="8963" max="8963" width="4" style="9" customWidth="1"/>
    <col min="8964" max="8964" width="30.7109375" style="9" customWidth="1"/>
    <col min="8965" max="8966" width="10" style="9" customWidth="1"/>
    <col min="8967" max="8967" width="9.85546875" style="9" customWidth="1"/>
    <col min="8968" max="8968" width="12.42578125" style="9" customWidth="1"/>
    <col min="8969" max="8974" width="12.7109375" style="9" customWidth="1"/>
    <col min="8975" max="8975" width="13" style="9" customWidth="1"/>
    <col min="8976" max="8977" width="12.7109375" style="9" customWidth="1"/>
    <col min="8978" max="8978" width="9.140625" style="9"/>
    <col min="8979" max="8979" width="11.140625" style="9" bestFit="1" customWidth="1"/>
    <col min="8980" max="9218" width="9.140625" style="9"/>
    <col min="9219" max="9219" width="4" style="9" customWidth="1"/>
    <col min="9220" max="9220" width="30.7109375" style="9" customWidth="1"/>
    <col min="9221" max="9222" width="10" style="9" customWidth="1"/>
    <col min="9223" max="9223" width="9.85546875" style="9" customWidth="1"/>
    <col min="9224" max="9224" width="12.42578125" style="9" customWidth="1"/>
    <col min="9225" max="9230" width="12.7109375" style="9" customWidth="1"/>
    <col min="9231" max="9231" width="13" style="9" customWidth="1"/>
    <col min="9232" max="9233" width="12.7109375" style="9" customWidth="1"/>
    <col min="9234" max="9234" width="9.140625" style="9"/>
    <col min="9235" max="9235" width="11.140625" style="9" bestFit="1" customWidth="1"/>
    <col min="9236" max="9474" width="9.140625" style="9"/>
    <col min="9475" max="9475" width="4" style="9" customWidth="1"/>
    <col min="9476" max="9476" width="30.7109375" style="9" customWidth="1"/>
    <col min="9477" max="9478" width="10" style="9" customWidth="1"/>
    <col min="9479" max="9479" width="9.85546875" style="9" customWidth="1"/>
    <col min="9480" max="9480" width="12.42578125" style="9" customWidth="1"/>
    <col min="9481" max="9486" width="12.7109375" style="9" customWidth="1"/>
    <col min="9487" max="9487" width="13" style="9" customWidth="1"/>
    <col min="9488" max="9489" width="12.7109375" style="9" customWidth="1"/>
    <col min="9490" max="9490" width="9.140625" style="9"/>
    <col min="9491" max="9491" width="11.140625" style="9" bestFit="1" customWidth="1"/>
    <col min="9492" max="9730" width="9.140625" style="9"/>
    <col min="9731" max="9731" width="4" style="9" customWidth="1"/>
    <col min="9732" max="9732" width="30.7109375" style="9" customWidth="1"/>
    <col min="9733" max="9734" width="10" style="9" customWidth="1"/>
    <col min="9735" max="9735" width="9.85546875" style="9" customWidth="1"/>
    <col min="9736" max="9736" width="12.42578125" style="9" customWidth="1"/>
    <col min="9737" max="9742" width="12.7109375" style="9" customWidth="1"/>
    <col min="9743" max="9743" width="13" style="9" customWidth="1"/>
    <col min="9744" max="9745" width="12.7109375" style="9" customWidth="1"/>
    <col min="9746" max="9746" width="9.140625" style="9"/>
    <col min="9747" max="9747" width="11.140625" style="9" bestFit="1" customWidth="1"/>
    <col min="9748" max="9986" width="9.140625" style="9"/>
    <col min="9987" max="9987" width="4" style="9" customWidth="1"/>
    <col min="9988" max="9988" width="30.7109375" style="9" customWidth="1"/>
    <col min="9989" max="9990" width="10" style="9" customWidth="1"/>
    <col min="9991" max="9991" width="9.85546875" style="9" customWidth="1"/>
    <col min="9992" max="9992" width="12.42578125" style="9" customWidth="1"/>
    <col min="9993" max="9998" width="12.7109375" style="9" customWidth="1"/>
    <col min="9999" max="9999" width="13" style="9" customWidth="1"/>
    <col min="10000" max="10001" width="12.7109375" style="9" customWidth="1"/>
    <col min="10002" max="10002" width="9.140625" style="9"/>
    <col min="10003" max="10003" width="11.140625" style="9" bestFit="1" customWidth="1"/>
    <col min="10004" max="10242" width="9.140625" style="9"/>
    <col min="10243" max="10243" width="4" style="9" customWidth="1"/>
    <col min="10244" max="10244" width="30.7109375" style="9" customWidth="1"/>
    <col min="10245" max="10246" width="10" style="9" customWidth="1"/>
    <col min="10247" max="10247" width="9.85546875" style="9" customWidth="1"/>
    <col min="10248" max="10248" width="12.42578125" style="9" customWidth="1"/>
    <col min="10249" max="10254" width="12.7109375" style="9" customWidth="1"/>
    <col min="10255" max="10255" width="13" style="9" customWidth="1"/>
    <col min="10256" max="10257" width="12.7109375" style="9" customWidth="1"/>
    <col min="10258" max="10258" width="9.140625" style="9"/>
    <col min="10259" max="10259" width="11.140625" style="9" bestFit="1" customWidth="1"/>
    <col min="10260" max="10498" width="9.140625" style="9"/>
    <col min="10499" max="10499" width="4" style="9" customWidth="1"/>
    <col min="10500" max="10500" width="30.7109375" style="9" customWidth="1"/>
    <col min="10501" max="10502" width="10" style="9" customWidth="1"/>
    <col min="10503" max="10503" width="9.85546875" style="9" customWidth="1"/>
    <col min="10504" max="10504" width="12.42578125" style="9" customWidth="1"/>
    <col min="10505" max="10510" width="12.7109375" style="9" customWidth="1"/>
    <col min="10511" max="10511" width="13" style="9" customWidth="1"/>
    <col min="10512" max="10513" width="12.7109375" style="9" customWidth="1"/>
    <col min="10514" max="10514" width="9.140625" style="9"/>
    <col min="10515" max="10515" width="11.140625" style="9" bestFit="1" customWidth="1"/>
    <col min="10516" max="10754" width="9.140625" style="9"/>
    <col min="10755" max="10755" width="4" style="9" customWidth="1"/>
    <col min="10756" max="10756" width="30.7109375" style="9" customWidth="1"/>
    <col min="10757" max="10758" width="10" style="9" customWidth="1"/>
    <col min="10759" max="10759" width="9.85546875" style="9" customWidth="1"/>
    <col min="10760" max="10760" width="12.42578125" style="9" customWidth="1"/>
    <col min="10761" max="10766" width="12.7109375" style="9" customWidth="1"/>
    <col min="10767" max="10767" width="13" style="9" customWidth="1"/>
    <col min="10768" max="10769" width="12.7109375" style="9" customWidth="1"/>
    <col min="10770" max="10770" width="9.140625" style="9"/>
    <col min="10771" max="10771" width="11.140625" style="9" bestFit="1" customWidth="1"/>
    <col min="10772" max="11010" width="9.140625" style="9"/>
    <col min="11011" max="11011" width="4" style="9" customWidth="1"/>
    <col min="11012" max="11012" width="30.7109375" style="9" customWidth="1"/>
    <col min="11013" max="11014" width="10" style="9" customWidth="1"/>
    <col min="11015" max="11015" width="9.85546875" style="9" customWidth="1"/>
    <col min="11016" max="11016" width="12.42578125" style="9" customWidth="1"/>
    <col min="11017" max="11022" width="12.7109375" style="9" customWidth="1"/>
    <col min="11023" max="11023" width="13" style="9" customWidth="1"/>
    <col min="11024" max="11025" width="12.7109375" style="9" customWidth="1"/>
    <col min="11026" max="11026" width="9.140625" style="9"/>
    <col min="11027" max="11027" width="11.140625" style="9" bestFit="1" customWidth="1"/>
    <col min="11028" max="11266" width="9.140625" style="9"/>
    <col min="11267" max="11267" width="4" style="9" customWidth="1"/>
    <col min="11268" max="11268" width="30.7109375" style="9" customWidth="1"/>
    <col min="11269" max="11270" width="10" style="9" customWidth="1"/>
    <col min="11271" max="11271" width="9.85546875" style="9" customWidth="1"/>
    <col min="11272" max="11272" width="12.42578125" style="9" customWidth="1"/>
    <col min="11273" max="11278" width="12.7109375" style="9" customWidth="1"/>
    <col min="11279" max="11279" width="13" style="9" customWidth="1"/>
    <col min="11280" max="11281" width="12.7109375" style="9" customWidth="1"/>
    <col min="11282" max="11282" width="9.140625" style="9"/>
    <col min="11283" max="11283" width="11.140625" style="9" bestFit="1" customWidth="1"/>
    <col min="11284" max="11522" width="9.140625" style="9"/>
    <col min="11523" max="11523" width="4" style="9" customWidth="1"/>
    <col min="11524" max="11524" width="30.7109375" style="9" customWidth="1"/>
    <col min="11525" max="11526" width="10" style="9" customWidth="1"/>
    <col min="11527" max="11527" width="9.85546875" style="9" customWidth="1"/>
    <col min="11528" max="11528" width="12.42578125" style="9" customWidth="1"/>
    <col min="11529" max="11534" width="12.7109375" style="9" customWidth="1"/>
    <col min="11535" max="11535" width="13" style="9" customWidth="1"/>
    <col min="11536" max="11537" width="12.7109375" style="9" customWidth="1"/>
    <col min="11538" max="11538" width="9.140625" style="9"/>
    <col min="11539" max="11539" width="11.140625" style="9" bestFit="1" customWidth="1"/>
    <col min="11540" max="11778" width="9.140625" style="9"/>
    <col min="11779" max="11779" width="4" style="9" customWidth="1"/>
    <col min="11780" max="11780" width="30.7109375" style="9" customWidth="1"/>
    <col min="11781" max="11782" width="10" style="9" customWidth="1"/>
    <col min="11783" max="11783" width="9.85546875" style="9" customWidth="1"/>
    <col min="11784" max="11784" width="12.42578125" style="9" customWidth="1"/>
    <col min="11785" max="11790" width="12.7109375" style="9" customWidth="1"/>
    <col min="11791" max="11791" width="13" style="9" customWidth="1"/>
    <col min="11792" max="11793" width="12.7109375" style="9" customWidth="1"/>
    <col min="11794" max="11794" width="9.140625" style="9"/>
    <col min="11795" max="11795" width="11.140625" style="9" bestFit="1" customWidth="1"/>
    <col min="11796" max="12034" width="9.140625" style="9"/>
    <col min="12035" max="12035" width="4" style="9" customWidth="1"/>
    <col min="12036" max="12036" width="30.7109375" style="9" customWidth="1"/>
    <col min="12037" max="12038" width="10" style="9" customWidth="1"/>
    <col min="12039" max="12039" width="9.85546875" style="9" customWidth="1"/>
    <col min="12040" max="12040" width="12.42578125" style="9" customWidth="1"/>
    <col min="12041" max="12046" width="12.7109375" style="9" customWidth="1"/>
    <col min="12047" max="12047" width="13" style="9" customWidth="1"/>
    <col min="12048" max="12049" width="12.7109375" style="9" customWidth="1"/>
    <col min="12050" max="12050" width="9.140625" style="9"/>
    <col min="12051" max="12051" width="11.140625" style="9" bestFit="1" customWidth="1"/>
    <col min="12052" max="12290" width="9.140625" style="9"/>
    <col min="12291" max="12291" width="4" style="9" customWidth="1"/>
    <col min="12292" max="12292" width="30.7109375" style="9" customWidth="1"/>
    <col min="12293" max="12294" width="10" style="9" customWidth="1"/>
    <col min="12295" max="12295" width="9.85546875" style="9" customWidth="1"/>
    <col min="12296" max="12296" width="12.42578125" style="9" customWidth="1"/>
    <col min="12297" max="12302" width="12.7109375" style="9" customWidth="1"/>
    <col min="12303" max="12303" width="13" style="9" customWidth="1"/>
    <col min="12304" max="12305" width="12.7109375" style="9" customWidth="1"/>
    <col min="12306" max="12306" width="9.140625" style="9"/>
    <col min="12307" max="12307" width="11.140625" style="9" bestFit="1" customWidth="1"/>
    <col min="12308" max="12546" width="9.140625" style="9"/>
    <col min="12547" max="12547" width="4" style="9" customWidth="1"/>
    <col min="12548" max="12548" width="30.7109375" style="9" customWidth="1"/>
    <col min="12549" max="12550" width="10" style="9" customWidth="1"/>
    <col min="12551" max="12551" width="9.85546875" style="9" customWidth="1"/>
    <col min="12552" max="12552" width="12.42578125" style="9" customWidth="1"/>
    <col min="12553" max="12558" width="12.7109375" style="9" customWidth="1"/>
    <col min="12559" max="12559" width="13" style="9" customWidth="1"/>
    <col min="12560" max="12561" width="12.7109375" style="9" customWidth="1"/>
    <col min="12562" max="12562" width="9.140625" style="9"/>
    <col min="12563" max="12563" width="11.140625" style="9" bestFit="1" customWidth="1"/>
    <col min="12564" max="12802" width="9.140625" style="9"/>
    <col min="12803" max="12803" width="4" style="9" customWidth="1"/>
    <col min="12804" max="12804" width="30.7109375" style="9" customWidth="1"/>
    <col min="12805" max="12806" width="10" style="9" customWidth="1"/>
    <col min="12807" max="12807" width="9.85546875" style="9" customWidth="1"/>
    <col min="12808" max="12808" width="12.42578125" style="9" customWidth="1"/>
    <col min="12809" max="12814" width="12.7109375" style="9" customWidth="1"/>
    <col min="12815" max="12815" width="13" style="9" customWidth="1"/>
    <col min="12816" max="12817" width="12.7109375" style="9" customWidth="1"/>
    <col min="12818" max="12818" width="9.140625" style="9"/>
    <col min="12819" max="12819" width="11.140625" style="9" bestFit="1" customWidth="1"/>
    <col min="12820" max="13058" width="9.140625" style="9"/>
    <col min="13059" max="13059" width="4" style="9" customWidth="1"/>
    <col min="13060" max="13060" width="30.7109375" style="9" customWidth="1"/>
    <col min="13061" max="13062" width="10" style="9" customWidth="1"/>
    <col min="13063" max="13063" width="9.85546875" style="9" customWidth="1"/>
    <col min="13064" max="13064" width="12.42578125" style="9" customWidth="1"/>
    <col min="13065" max="13070" width="12.7109375" style="9" customWidth="1"/>
    <col min="13071" max="13071" width="13" style="9" customWidth="1"/>
    <col min="13072" max="13073" width="12.7109375" style="9" customWidth="1"/>
    <col min="13074" max="13074" width="9.140625" style="9"/>
    <col min="13075" max="13075" width="11.140625" style="9" bestFit="1" customWidth="1"/>
    <col min="13076" max="13314" width="9.140625" style="9"/>
    <col min="13315" max="13315" width="4" style="9" customWidth="1"/>
    <col min="13316" max="13316" width="30.7109375" style="9" customWidth="1"/>
    <col min="13317" max="13318" width="10" style="9" customWidth="1"/>
    <col min="13319" max="13319" width="9.85546875" style="9" customWidth="1"/>
    <col min="13320" max="13320" width="12.42578125" style="9" customWidth="1"/>
    <col min="13321" max="13326" width="12.7109375" style="9" customWidth="1"/>
    <col min="13327" max="13327" width="13" style="9" customWidth="1"/>
    <col min="13328" max="13329" width="12.7109375" style="9" customWidth="1"/>
    <col min="13330" max="13330" width="9.140625" style="9"/>
    <col min="13331" max="13331" width="11.140625" style="9" bestFit="1" customWidth="1"/>
    <col min="13332" max="13570" width="9.140625" style="9"/>
    <col min="13571" max="13571" width="4" style="9" customWidth="1"/>
    <col min="13572" max="13572" width="30.7109375" style="9" customWidth="1"/>
    <col min="13573" max="13574" width="10" style="9" customWidth="1"/>
    <col min="13575" max="13575" width="9.85546875" style="9" customWidth="1"/>
    <col min="13576" max="13576" width="12.42578125" style="9" customWidth="1"/>
    <col min="13577" max="13582" width="12.7109375" style="9" customWidth="1"/>
    <col min="13583" max="13583" width="13" style="9" customWidth="1"/>
    <col min="13584" max="13585" width="12.7109375" style="9" customWidth="1"/>
    <col min="13586" max="13586" width="9.140625" style="9"/>
    <col min="13587" max="13587" width="11.140625" style="9" bestFit="1" customWidth="1"/>
    <col min="13588" max="13826" width="9.140625" style="9"/>
    <col min="13827" max="13827" width="4" style="9" customWidth="1"/>
    <col min="13828" max="13828" width="30.7109375" style="9" customWidth="1"/>
    <col min="13829" max="13830" width="10" style="9" customWidth="1"/>
    <col min="13831" max="13831" width="9.85546875" style="9" customWidth="1"/>
    <col min="13832" max="13832" width="12.42578125" style="9" customWidth="1"/>
    <col min="13833" max="13838" width="12.7109375" style="9" customWidth="1"/>
    <col min="13839" max="13839" width="13" style="9" customWidth="1"/>
    <col min="13840" max="13841" width="12.7109375" style="9" customWidth="1"/>
    <col min="13842" max="13842" width="9.140625" style="9"/>
    <col min="13843" max="13843" width="11.140625" style="9" bestFit="1" customWidth="1"/>
    <col min="13844" max="14082" width="9.140625" style="9"/>
    <col min="14083" max="14083" width="4" style="9" customWidth="1"/>
    <col min="14084" max="14084" width="30.7109375" style="9" customWidth="1"/>
    <col min="14085" max="14086" width="10" style="9" customWidth="1"/>
    <col min="14087" max="14087" width="9.85546875" style="9" customWidth="1"/>
    <col min="14088" max="14088" width="12.42578125" style="9" customWidth="1"/>
    <col min="14089" max="14094" width="12.7109375" style="9" customWidth="1"/>
    <col min="14095" max="14095" width="13" style="9" customWidth="1"/>
    <col min="14096" max="14097" width="12.7109375" style="9" customWidth="1"/>
    <col min="14098" max="14098" width="9.140625" style="9"/>
    <col min="14099" max="14099" width="11.140625" style="9" bestFit="1" customWidth="1"/>
    <col min="14100" max="14338" width="9.140625" style="9"/>
    <col min="14339" max="14339" width="4" style="9" customWidth="1"/>
    <col min="14340" max="14340" width="30.7109375" style="9" customWidth="1"/>
    <col min="14341" max="14342" width="10" style="9" customWidth="1"/>
    <col min="14343" max="14343" width="9.85546875" style="9" customWidth="1"/>
    <col min="14344" max="14344" width="12.42578125" style="9" customWidth="1"/>
    <col min="14345" max="14350" width="12.7109375" style="9" customWidth="1"/>
    <col min="14351" max="14351" width="13" style="9" customWidth="1"/>
    <col min="14352" max="14353" width="12.7109375" style="9" customWidth="1"/>
    <col min="14354" max="14354" width="9.140625" style="9"/>
    <col min="14355" max="14355" width="11.140625" style="9" bestFit="1" customWidth="1"/>
    <col min="14356" max="14594" width="9.140625" style="9"/>
    <col min="14595" max="14595" width="4" style="9" customWidth="1"/>
    <col min="14596" max="14596" width="30.7109375" style="9" customWidth="1"/>
    <col min="14597" max="14598" width="10" style="9" customWidth="1"/>
    <col min="14599" max="14599" width="9.85546875" style="9" customWidth="1"/>
    <col min="14600" max="14600" width="12.42578125" style="9" customWidth="1"/>
    <col min="14601" max="14606" width="12.7109375" style="9" customWidth="1"/>
    <col min="14607" max="14607" width="13" style="9" customWidth="1"/>
    <col min="14608" max="14609" width="12.7109375" style="9" customWidth="1"/>
    <col min="14610" max="14610" width="9.140625" style="9"/>
    <col min="14611" max="14611" width="11.140625" style="9" bestFit="1" customWidth="1"/>
    <col min="14612" max="14850" width="9.140625" style="9"/>
    <col min="14851" max="14851" width="4" style="9" customWidth="1"/>
    <col min="14852" max="14852" width="30.7109375" style="9" customWidth="1"/>
    <col min="14853" max="14854" width="10" style="9" customWidth="1"/>
    <col min="14855" max="14855" width="9.85546875" style="9" customWidth="1"/>
    <col min="14856" max="14856" width="12.42578125" style="9" customWidth="1"/>
    <col min="14857" max="14862" width="12.7109375" style="9" customWidth="1"/>
    <col min="14863" max="14863" width="13" style="9" customWidth="1"/>
    <col min="14864" max="14865" width="12.7109375" style="9" customWidth="1"/>
    <col min="14866" max="14866" width="9.140625" style="9"/>
    <col min="14867" max="14867" width="11.140625" style="9" bestFit="1" customWidth="1"/>
    <col min="14868" max="15106" width="9.140625" style="9"/>
    <col min="15107" max="15107" width="4" style="9" customWidth="1"/>
    <col min="15108" max="15108" width="30.7109375" style="9" customWidth="1"/>
    <col min="15109" max="15110" width="10" style="9" customWidth="1"/>
    <col min="15111" max="15111" width="9.85546875" style="9" customWidth="1"/>
    <col min="15112" max="15112" width="12.42578125" style="9" customWidth="1"/>
    <col min="15113" max="15118" width="12.7109375" style="9" customWidth="1"/>
    <col min="15119" max="15119" width="13" style="9" customWidth="1"/>
    <col min="15120" max="15121" width="12.7109375" style="9" customWidth="1"/>
    <col min="15122" max="15122" width="9.140625" style="9"/>
    <col min="15123" max="15123" width="11.140625" style="9" bestFit="1" customWidth="1"/>
    <col min="15124" max="15362" width="9.140625" style="9"/>
    <col min="15363" max="15363" width="4" style="9" customWidth="1"/>
    <col min="15364" max="15364" width="30.7109375" style="9" customWidth="1"/>
    <col min="15365" max="15366" width="10" style="9" customWidth="1"/>
    <col min="15367" max="15367" width="9.85546875" style="9" customWidth="1"/>
    <col min="15368" max="15368" width="12.42578125" style="9" customWidth="1"/>
    <col min="15369" max="15374" width="12.7109375" style="9" customWidth="1"/>
    <col min="15375" max="15375" width="13" style="9" customWidth="1"/>
    <col min="15376" max="15377" width="12.7109375" style="9" customWidth="1"/>
    <col min="15378" max="15378" width="9.140625" style="9"/>
    <col min="15379" max="15379" width="11.140625" style="9" bestFit="1" customWidth="1"/>
    <col min="15380" max="15618" width="9.140625" style="9"/>
    <col min="15619" max="15619" width="4" style="9" customWidth="1"/>
    <col min="15620" max="15620" width="30.7109375" style="9" customWidth="1"/>
    <col min="15621" max="15622" width="10" style="9" customWidth="1"/>
    <col min="15623" max="15623" width="9.85546875" style="9" customWidth="1"/>
    <col min="15624" max="15624" width="12.42578125" style="9" customWidth="1"/>
    <col min="15625" max="15630" width="12.7109375" style="9" customWidth="1"/>
    <col min="15631" max="15631" width="13" style="9" customWidth="1"/>
    <col min="15632" max="15633" width="12.7109375" style="9" customWidth="1"/>
    <col min="15634" max="15634" width="9.140625" style="9"/>
    <col min="15635" max="15635" width="11.140625" style="9" bestFit="1" customWidth="1"/>
    <col min="15636" max="15874" width="9.140625" style="9"/>
    <col min="15875" max="15875" width="4" style="9" customWidth="1"/>
    <col min="15876" max="15876" width="30.7109375" style="9" customWidth="1"/>
    <col min="15877" max="15878" width="10" style="9" customWidth="1"/>
    <col min="15879" max="15879" width="9.85546875" style="9" customWidth="1"/>
    <col min="15880" max="15880" width="12.42578125" style="9" customWidth="1"/>
    <col min="15881" max="15886" width="12.7109375" style="9" customWidth="1"/>
    <col min="15887" max="15887" width="13" style="9" customWidth="1"/>
    <col min="15888" max="15889" width="12.7109375" style="9" customWidth="1"/>
    <col min="15890" max="15890" width="9.140625" style="9"/>
    <col min="15891" max="15891" width="11.140625" style="9" bestFit="1" customWidth="1"/>
    <col min="15892" max="16130" width="9.140625" style="9"/>
    <col min="16131" max="16131" width="4" style="9" customWidth="1"/>
    <col min="16132" max="16132" width="30.7109375" style="9" customWidth="1"/>
    <col min="16133" max="16134" width="10" style="9" customWidth="1"/>
    <col min="16135" max="16135" width="9.85546875" style="9" customWidth="1"/>
    <col min="16136" max="16136" width="12.42578125" style="9" customWidth="1"/>
    <col min="16137" max="16142" width="12.7109375" style="9" customWidth="1"/>
    <col min="16143" max="16143" width="13" style="9" customWidth="1"/>
    <col min="16144" max="16145" width="12.7109375" style="9" customWidth="1"/>
    <col min="16146" max="16146" width="9.140625" style="9"/>
    <col min="16147" max="16147" width="11.140625" style="9" bestFit="1" customWidth="1"/>
    <col min="16148" max="16384" width="9.140625" style="9"/>
  </cols>
  <sheetData>
    <row r="1" spans="1:22" s="7" customFormat="1" ht="13.5" thickBot="1">
      <c r="A1" s="7" t="s">
        <v>15</v>
      </c>
      <c r="B1" s="8"/>
    </row>
    <row r="2" spans="1:22" ht="23.25" thickBot="1">
      <c r="A2" s="1875" t="s">
        <v>16</v>
      </c>
      <c r="B2" s="1876"/>
      <c r="C2" s="1876"/>
      <c r="D2" s="1876"/>
      <c r="E2" s="1876"/>
      <c r="F2" s="1876"/>
      <c r="G2" s="1876"/>
      <c r="H2" s="1876"/>
      <c r="I2" s="1876"/>
      <c r="J2" s="1876"/>
      <c r="K2" s="1876"/>
      <c r="L2" s="1876"/>
      <c r="M2" s="1876"/>
      <c r="N2" s="1876"/>
      <c r="O2" s="1876"/>
      <c r="P2" s="1876"/>
      <c r="Q2" s="1944"/>
    </row>
    <row r="3" spans="1:22" ht="16.5" thickBot="1">
      <c r="A3" s="1877" t="s">
        <v>17</v>
      </c>
      <c r="B3" s="1878"/>
      <c r="C3" s="1878"/>
      <c r="D3" s="1878"/>
      <c r="E3" s="1878"/>
      <c r="F3" s="1878"/>
      <c r="G3" s="1878"/>
      <c r="H3" s="1878"/>
      <c r="I3" s="1878"/>
      <c r="J3" s="1878"/>
      <c r="K3" s="1878"/>
      <c r="L3" s="1878"/>
      <c r="M3" s="1878"/>
      <c r="N3" s="1878"/>
      <c r="O3" s="1878"/>
      <c r="P3" s="1878"/>
      <c r="Q3" s="1945"/>
    </row>
    <row r="4" spans="1:22" ht="25.5">
      <c r="A4" s="10" t="s">
        <v>18</v>
      </c>
      <c r="B4" s="11"/>
      <c r="C4" s="12" t="s">
        <v>19</v>
      </c>
      <c r="D4" s="12"/>
      <c r="E4" s="12"/>
      <c r="F4" s="13"/>
      <c r="G4" s="1879" t="s">
        <v>20</v>
      </c>
      <c r="H4" s="1881"/>
      <c r="I4" s="1882"/>
      <c r="J4" s="14" t="s">
        <v>21</v>
      </c>
      <c r="K4" s="15"/>
      <c r="L4" s="16" t="s">
        <v>22</v>
      </c>
      <c r="M4" s="17" t="s">
        <v>23</v>
      </c>
      <c r="N4" s="18" t="s">
        <v>24</v>
      </c>
      <c r="O4" s="215">
        <v>42189</v>
      </c>
      <c r="P4" s="17"/>
      <c r="Q4" s="17"/>
    </row>
    <row r="5" spans="1:22" ht="26.25" thickBot="1">
      <c r="A5" s="19" t="s">
        <v>26</v>
      </c>
      <c r="B5" s="20"/>
      <c r="C5" s="21" t="s">
        <v>27</v>
      </c>
      <c r="D5" s="21"/>
      <c r="E5" s="21"/>
      <c r="F5" s="22"/>
      <c r="G5" s="1880"/>
      <c r="H5" s="1883"/>
      <c r="I5" s="1884"/>
      <c r="J5" s="23" t="s">
        <v>28</v>
      </c>
      <c r="K5" s="15"/>
      <c r="L5" s="24" t="s">
        <v>29</v>
      </c>
      <c r="M5" s="25"/>
      <c r="N5" s="24" t="s">
        <v>30</v>
      </c>
      <c r="O5" s="25"/>
      <c r="P5" s="25"/>
      <c r="Q5" s="25"/>
      <c r="R5" s="25" t="s">
        <v>18</v>
      </c>
      <c r="S5" s="25" t="s">
        <v>31</v>
      </c>
    </row>
    <row r="6" spans="1:22" ht="13.5" thickBot="1">
      <c r="A6" s="26"/>
      <c r="B6" s="27"/>
      <c r="F6" s="28"/>
      <c r="G6" s="29"/>
      <c r="H6" s="30"/>
      <c r="I6" s="28"/>
      <c r="J6" s="31">
        <f>4163535/4326635</f>
        <v>0.9623032680131326</v>
      </c>
      <c r="K6" s="28"/>
      <c r="L6" s="216">
        <f>4000000/4366585</f>
        <v>0.91604766654032843</v>
      </c>
      <c r="M6" s="216">
        <f>1-L6</f>
        <v>8.3952333459671569E-2</v>
      </c>
      <c r="N6" s="28"/>
      <c r="O6" s="28"/>
      <c r="P6" s="28"/>
      <c r="Q6" s="28"/>
    </row>
    <row r="7" spans="1:22" ht="31.5" customHeight="1" thickBot="1">
      <c r="A7" s="1946" t="s">
        <v>32</v>
      </c>
      <c r="B7" s="1888" t="s">
        <v>33</v>
      </c>
      <c r="C7" s="1890" t="s">
        <v>34</v>
      </c>
      <c r="D7" s="217"/>
      <c r="E7" s="217"/>
      <c r="F7" s="1892" t="s">
        <v>35</v>
      </c>
      <c r="G7" s="1948" t="s">
        <v>36</v>
      </c>
      <c r="H7" s="1950" t="s">
        <v>115</v>
      </c>
      <c r="I7" s="1951"/>
      <c r="J7" s="1950" t="s">
        <v>116</v>
      </c>
      <c r="K7" s="1951"/>
      <c r="L7" s="1872" t="s">
        <v>117</v>
      </c>
      <c r="M7" s="1955"/>
      <c r="N7" s="1872" t="s">
        <v>118</v>
      </c>
      <c r="O7" s="1955"/>
      <c r="P7" s="1872" t="s">
        <v>119</v>
      </c>
      <c r="Q7" s="1956"/>
    </row>
    <row r="8" spans="1:22" ht="19.5" customHeight="1">
      <c r="A8" s="1947"/>
      <c r="B8" s="1889"/>
      <c r="C8" s="1891"/>
      <c r="D8" s="218"/>
      <c r="E8" s="218"/>
      <c r="F8" s="1893"/>
      <c r="G8" s="1949"/>
      <c r="H8" s="1874" t="s">
        <v>120</v>
      </c>
      <c r="I8" s="1874"/>
      <c r="J8" s="1874" t="s">
        <v>121</v>
      </c>
      <c r="K8" s="1874"/>
      <c r="L8" s="1874" t="s">
        <v>122</v>
      </c>
      <c r="M8" s="1958"/>
      <c r="N8" s="1874" t="s">
        <v>123</v>
      </c>
      <c r="O8" s="1958"/>
      <c r="P8" s="1874" t="s">
        <v>124</v>
      </c>
      <c r="Q8" s="1959"/>
    </row>
    <row r="9" spans="1:22" ht="21.75" customHeight="1" thickBot="1">
      <c r="A9" s="1947"/>
      <c r="B9" s="1889"/>
      <c r="C9" s="1891"/>
      <c r="D9" s="218"/>
      <c r="E9" s="218" t="s">
        <v>125</v>
      </c>
      <c r="F9" s="1893"/>
      <c r="G9" s="1949"/>
      <c r="H9" s="1874"/>
      <c r="I9" s="1874"/>
      <c r="J9" s="1874"/>
      <c r="K9" s="1874"/>
      <c r="L9" s="1874"/>
      <c r="M9" s="1958"/>
      <c r="N9" s="1874"/>
      <c r="O9" s="1958"/>
      <c r="P9" s="1874"/>
      <c r="Q9" s="1959"/>
      <c r="R9" s="219"/>
    </row>
    <row r="10" spans="1:22" ht="39" customHeight="1" thickBot="1">
      <c r="A10" s="1947"/>
      <c r="B10" s="1889"/>
      <c r="C10" s="1891"/>
      <c r="D10" s="218" t="s">
        <v>169</v>
      </c>
      <c r="E10" s="218" t="s">
        <v>126</v>
      </c>
      <c r="F10" s="1893"/>
      <c r="G10" s="1949"/>
      <c r="H10" s="1868" t="s">
        <v>127</v>
      </c>
      <c r="I10" s="1869"/>
      <c r="J10" s="1961" t="s">
        <v>128</v>
      </c>
      <c r="K10" s="1951"/>
      <c r="L10" s="1963" t="s">
        <v>129</v>
      </c>
      <c r="M10" s="1964"/>
      <c r="N10" s="1963" t="s">
        <v>130</v>
      </c>
      <c r="O10" s="1964"/>
      <c r="P10" s="1963" t="s">
        <v>131</v>
      </c>
      <c r="Q10" s="1965"/>
      <c r="T10" s="220" t="s">
        <v>132</v>
      </c>
    </row>
    <row r="11" spans="1:22" ht="13.5" thickBot="1">
      <c r="A11" s="1947"/>
      <c r="B11" s="1889"/>
      <c r="C11" s="1891"/>
      <c r="D11" s="218"/>
      <c r="E11" s="218"/>
      <c r="F11" s="1893"/>
      <c r="G11" s="1949"/>
      <c r="H11" s="1870" t="s">
        <v>46</v>
      </c>
      <c r="I11" s="1871"/>
      <c r="J11" s="1870" t="s">
        <v>46</v>
      </c>
      <c r="K11" s="1871"/>
      <c r="L11" s="1870" t="s">
        <v>46</v>
      </c>
      <c r="M11" s="1871"/>
      <c r="N11" s="1870" t="s">
        <v>46</v>
      </c>
      <c r="O11" s="1871"/>
      <c r="P11" s="1870" t="s">
        <v>46</v>
      </c>
      <c r="Q11" s="1871"/>
      <c r="R11" s="219"/>
    </row>
    <row r="12" spans="1:22" ht="13.5" thickBot="1">
      <c r="A12" s="1947"/>
      <c r="B12" s="1889"/>
      <c r="C12" s="1891"/>
      <c r="D12" s="218"/>
      <c r="E12" s="218"/>
      <c r="F12" s="1893"/>
      <c r="G12" s="1949"/>
      <c r="H12" s="34" t="s">
        <v>47</v>
      </c>
      <c r="I12" s="35" t="s">
        <v>48</v>
      </c>
      <c r="J12" s="34" t="s">
        <v>47</v>
      </c>
      <c r="K12" s="35" t="s">
        <v>48</v>
      </c>
      <c r="L12" s="34" t="s">
        <v>47</v>
      </c>
      <c r="M12" s="35" t="s">
        <v>48</v>
      </c>
      <c r="N12" s="34" t="s">
        <v>47</v>
      </c>
      <c r="O12" s="35" t="s">
        <v>48</v>
      </c>
      <c r="P12" s="34" t="s">
        <v>47</v>
      </c>
      <c r="Q12" s="35" t="s">
        <v>48</v>
      </c>
    </row>
    <row r="13" spans="1:22" ht="15.75">
      <c r="A13" s="40"/>
      <c r="B13" s="41"/>
      <c r="C13" s="221"/>
      <c r="D13" s="221"/>
      <c r="E13" s="221"/>
      <c r="F13" s="222"/>
      <c r="G13" s="223"/>
      <c r="H13" s="224"/>
      <c r="I13" s="46"/>
      <c r="J13" s="42"/>
      <c r="K13" s="48"/>
      <c r="L13" s="42"/>
      <c r="M13" s="44"/>
      <c r="N13" s="47"/>
      <c r="O13" s="48"/>
      <c r="P13" s="42"/>
      <c r="Q13" s="44"/>
    </row>
    <row r="14" spans="1:22" ht="15">
      <c r="A14" s="50">
        <v>1</v>
      </c>
      <c r="B14" s="225" t="s">
        <v>133</v>
      </c>
      <c r="C14" s="226"/>
      <c r="D14" s="254"/>
      <c r="E14" s="227"/>
      <c r="F14" s="228" t="s">
        <v>134</v>
      </c>
      <c r="G14" s="227">
        <v>18</v>
      </c>
      <c r="H14" s="229">
        <v>765</v>
      </c>
      <c r="I14" s="55">
        <f>H14*0.98</f>
        <v>749.69999999999993</v>
      </c>
      <c r="J14" s="229">
        <v>610</v>
      </c>
      <c r="K14" s="57">
        <f>J14*$J$6</f>
        <v>587.00499348801088</v>
      </c>
      <c r="L14" s="230">
        <v>520</v>
      </c>
      <c r="M14" s="226">
        <f>L14*$L$6</f>
        <v>476.34478660097079</v>
      </c>
      <c r="N14" s="59">
        <v>702</v>
      </c>
      <c r="O14" s="231">
        <f>N14*0.985</f>
        <v>691.47</v>
      </c>
      <c r="P14" s="232">
        <v>610</v>
      </c>
      <c r="Q14" s="233">
        <f>P14*0.85</f>
        <v>518.5</v>
      </c>
      <c r="R14" s="234" t="s">
        <v>135</v>
      </c>
      <c r="S14" s="235" t="s">
        <v>136</v>
      </c>
      <c r="T14" s="236">
        <v>520</v>
      </c>
      <c r="V14" s="237"/>
    </row>
    <row r="15" spans="1:22" ht="26.25">
      <c r="A15" s="50">
        <v>2</v>
      </c>
      <c r="B15" s="225" t="s">
        <v>137</v>
      </c>
      <c r="C15" s="238">
        <v>764</v>
      </c>
      <c r="D15" s="256">
        <f>1-(M15/C15)</f>
        <v>0.17267946346488661</v>
      </c>
      <c r="E15" s="239" t="s">
        <v>138</v>
      </c>
      <c r="F15" s="228" t="s">
        <v>134</v>
      </c>
      <c r="G15" s="227">
        <v>9</v>
      </c>
      <c r="H15" s="229">
        <v>688</v>
      </c>
      <c r="I15" s="55">
        <f t="shared" ref="I15:I26" si="0">H15*0.98</f>
        <v>674.24</v>
      </c>
      <c r="J15" s="229">
        <v>689</v>
      </c>
      <c r="K15" s="57">
        <f t="shared" ref="K15:K26" si="1">J15*$J$6</f>
        <v>663.02695166104832</v>
      </c>
      <c r="L15" s="230">
        <v>690</v>
      </c>
      <c r="M15" s="226">
        <f t="shared" ref="M15:M26" si="2">L15*$L$6</f>
        <v>632.07288991282667</v>
      </c>
      <c r="N15" s="59">
        <v>652</v>
      </c>
      <c r="O15" s="231">
        <f t="shared" ref="O15:O26" si="3">N15*0.985</f>
        <v>642.22</v>
      </c>
      <c r="P15" s="232">
        <v>795</v>
      </c>
      <c r="Q15" s="233">
        <f t="shared" ref="Q15:Q26" si="4">P15*0.85</f>
        <v>675.75</v>
      </c>
      <c r="R15" s="234" t="s">
        <v>139</v>
      </c>
      <c r="S15" s="235" t="s">
        <v>140</v>
      </c>
      <c r="T15" s="236">
        <v>652</v>
      </c>
      <c r="V15" s="237"/>
    </row>
    <row r="16" spans="1:22" ht="15">
      <c r="A16" s="50">
        <v>3</v>
      </c>
      <c r="B16" s="225" t="s">
        <v>141</v>
      </c>
      <c r="C16" s="240"/>
      <c r="D16" s="240"/>
      <c r="E16" s="241"/>
      <c r="F16" s="228" t="s">
        <v>134</v>
      </c>
      <c r="G16" s="242">
        <v>254</v>
      </c>
      <c r="H16" s="229">
        <v>8538</v>
      </c>
      <c r="I16" s="55">
        <f t="shared" si="0"/>
        <v>8367.24</v>
      </c>
      <c r="J16" s="229">
        <v>8632</v>
      </c>
      <c r="K16" s="57">
        <f t="shared" si="1"/>
        <v>8306.6018094893607</v>
      </c>
      <c r="L16" s="230">
        <v>8790</v>
      </c>
      <c r="M16" s="226">
        <f t="shared" si="2"/>
        <v>8052.0589888894865</v>
      </c>
      <c r="N16" s="59">
        <v>8395</v>
      </c>
      <c r="O16" s="231">
        <f t="shared" si="3"/>
        <v>8269.0750000000007</v>
      </c>
      <c r="P16" s="232">
        <v>11735</v>
      </c>
      <c r="Q16" s="233">
        <f t="shared" si="4"/>
        <v>9974.75</v>
      </c>
      <c r="R16" s="234" t="s">
        <v>142</v>
      </c>
      <c r="S16" s="235" t="s">
        <v>136</v>
      </c>
      <c r="T16" s="236">
        <v>8395</v>
      </c>
      <c r="V16" s="243"/>
    </row>
    <row r="17" spans="1:22" ht="15">
      <c r="A17" s="50">
        <v>4</v>
      </c>
      <c r="B17" s="225" t="s">
        <v>143</v>
      </c>
      <c r="C17" s="241"/>
      <c r="D17" s="241"/>
      <c r="E17" s="241"/>
      <c r="F17" s="228" t="s">
        <v>134</v>
      </c>
      <c r="G17" s="242">
        <v>98</v>
      </c>
      <c r="H17" s="229">
        <v>6032</v>
      </c>
      <c r="I17" s="55">
        <f t="shared" si="0"/>
        <v>5911.36</v>
      </c>
      <c r="J17" s="229">
        <v>5956</v>
      </c>
      <c r="K17" s="57">
        <f t="shared" si="1"/>
        <v>5731.4782642862174</v>
      </c>
      <c r="L17" s="230">
        <v>6185</v>
      </c>
      <c r="M17" s="226">
        <f t="shared" si="2"/>
        <v>5665.7548175519314</v>
      </c>
      <c r="N17" s="59">
        <v>6052</v>
      </c>
      <c r="O17" s="231">
        <f t="shared" si="3"/>
        <v>5961.22</v>
      </c>
      <c r="P17" s="232">
        <v>8035</v>
      </c>
      <c r="Q17" s="233">
        <f t="shared" si="4"/>
        <v>6829.75</v>
      </c>
      <c r="R17" s="234" t="s">
        <v>144</v>
      </c>
      <c r="S17" s="235" t="s">
        <v>136</v>
      </c>
      <c r="T17" s="236">
        <v>6032</v>
      </c>
      <c r="V17" s="243"/>
    </row>
    <row r="18" spans="1:22" ht="26.25">
      <c r="A18" s="50">
        <v>5</v>
      </c>
      <c r="B18" s="225" t="s">
        <v>145</v>
      </c>
      <c r="C18" s="238">
        <v>182</v>
      </c>
      <c r="D18" s="256">
        <f>1-(M18/C18)</f>
        <v>0.14435108070408875</v>
      </c>
      <c r="E18" s="239" t="s">
        <v>146</v>
      </c>
      <c r="F18" s="228" t="s">
        <v>134</v>
      </c>
      <c r="G18" s="227">
        <v>18</v>
      </c>
      <c r="H18" s="229">
        <v>161.5</v>
      </c>
      <c r="I18" s="55">
        <f t="shared" si="0"/>
        <v>158.27000000000001</v>
      </c>
      <c r="J18" s="229">
        <v>165</v>
      </c>
      <c r="K18" s="57">
        <f t="shared" si="1"/>
        <v>158.78003922216689</v>
      </c>
      <c r="L18" s="230">
        <v>170</v>
      </c>
      <c r="M18" s="226">
        <f t="shared" si="2"/>
        <v>155.72810331185585</v>
      </c>
      <c r="N18" s="59">
        <v>157</v>
      </c>
      <c r="O18" s="231">
        <f t="shared" si="3"/>
        <v>154.64500000000001</v>
      </c>
      <c r="P18" s="232">
        <v>185</v>
      </c>
      <c r="Q18" s="233">
        <f t="shared" si="4"/>
        <v>157.25</v>
      </c>
      <c r="R18" s="234" t="s">
        <v>144</v>
      </c>
      <c r="S18" s="235" t="s">
        <v>147</v>
      </c>
      <c r="T18" s="236">
        <v>157</v>
      </c>
      <c r="V18" s="237"/>
    </row>
    <row r="19" spans="1:22" ht="26.25">
      <c r="A19" s="50">
        <v>6</v>
      </c>
      <c r="B19" s="225" t="s">
        <v>148</v>
      </c>
      <c r="C19" s="238">
        <v>260</v>
      </c>
      <c r="D19" s="256">
        <f>1-(M19/C19)</f>
        <v>0.11918493601891489</v>
      </c>
      <c r="E19" s="239" t="s">
        <v>149</v>
      </c>
      <c r="F19" s="228" t="s">
        <v>134</v>
      </c>
      <c r="G19" s="227">
        <v>98</v>
      </c>
      <c r="H19" s="229">
        <v>239</v>
      </c>
      <c r="I19" s="55">
        <f t="shared" si="0"/>
        <v>234.22</v>
      </c>
      <c r="J19" s="229">
        <v>234</v>
      </c>
      <c r="K19" s="57">
        <f t="shared" si="1"/>
        <v>225.17896471507302</v>
      </c>
      <c r="L19" s="230">
        <v>250</v>
      </c>
      <c r="M19" s="226">
        <f t="shared" si="2"/>
        <v>229.01191663508212</v>
      </c>
      <c r="N19" s="59">
        <v>244</v>
      </c>
      <c r="O19" s="231">
        <f t="shared" si="3"/>
        <v>240.34</v>
      </c>
      <c r="P19" s="232">
        <v>275</v>
      </c>
      <c r="Q19" s="233">
        <f t="shared" si="4"/>
        <v>233.75</v>
      </c>
      <c r="R19" s="234" t="s">
        <v>144</v>
      </c>
      <c r="S19" s="235" t="s">
        <v>150</v>
      </c>
      <c r="T19" s="236">
        <v>239</v>
      </c>
      <c r="V19" s="237"/>
    </row>
    <row r="20" spans="1:22" ht="15">
      <c r="A20" s="50">
        <v>7</v>
      </c>
      <c r="B20" s="225" t="s">
        <v>151</v>
      </c>
      <c r="C20" s="241"/>
      <c r="D20" s="241"/>
      <c r="E20" s="241"/>
      <c r="F20" s="228" t="s">
        <v>134</v>
      </c>
      <c r="G20" s="227">
        <v>60</v>
      </c>
      <c r="H20" s="229">
        <v>362</v>
      </c>
      <c r="I20" s="55">
        <f t="shared" si="0"/>
        <v>354.76</v>
      </c>
      <c r="J20" s="229">
        <v>337</v>
      </c>
      <c r="K20" s="57">
        <f t="shared" si="1"/>
        <v>324.29620132042567</v>
      </c>
      <c r="L20" s="230">
        <v>360</v>
      </c>
      <c r="M20" s="226">
        <f t="shared" si="2"/>
        <v>329.77715995451825</v>
      </c>
      <c r="N20" s="59">
        <v>337</v>
      </c>
      <c r="O20" s="231">
        <f t="shared" si="3"/>
        <v>331.94499999999999</v>
      </c>
      <c r="P20" s="232">
        <v>460</v>
      </c>
      <c r="Q20" s="233">
        <f t="shared" si="4"/>
        <v>391</v>
      </c>
      <c r="R20" s="234" t="s">
        <v>144</v>
      </c>
      <c r="S20" s="235" t="s">
        <v>152</v>
      </c>
      <c r="T20" s="236">
        <v>337</v>
      </c>
      <c r="V20" s="237"/>
    </row>
    <row r="21" spans="1:22" ht="15">
      <c r="A21" s="50">
        <v>8</v>
      </c>
      <c r="B21" s="225" t="s">
        <v>153</v>
      </c>
      <c r="C21" s="241"/>
      <c r="D21" s="241"/>
      <c r="E21" s="241"/>
      <c r="F21" s="228" t="s">
        <v>134</v>
      </c>
      <c r="G21" s="242">
        <v>18</v>
      </c>
      <c r="H21" s="229">
        <v>5083</v>
      </c>
      <c r="I21" s="55">
        <f t="shared" si="0"/>
        <v>4981.34</v>
      </c>
      <c r="J21" s="229">
        <v>5022</v>
      </c>
      <c r="K21" s="57">
        <f t="shared" si="1"/>
        <v>4832.6870119619516</v>
      </c>
      <c r="L21" s="230">
        <v>5225</v>
      </c>
      <c r="M21" s="226">
        <f t="shared" si="2"/>
        <v>4786.3490576732156</v>
      </c>
      <c r="N21" s="59">
        <v>4928</v>
      </c>
      <c r="O21" s="231">
        <f t="shared" si="3"/>
        <v>4854.08</v>
      </c>
      <c r="P21" s="232">
        <v>6785</v>
      </c>
      <c r="Q21" s="233">
        <f t="shared" si="4"/>
        <v>5767.25</v>
      </c>
      <c r="R21" s="234" t="s">
        <v>154</v>
      </c>
      <c r="S21" s="235" t="s">
        <v>136</v>
      </c>
      <c r="T21" s="236">
        <v>4928</v>
      </c>
      <c r="V21" s="243"/>
    </row>
    <row r="22" spans="1:22" ht="26.25">
      <c r="A22" s="50">
        <v>9</v>
      </c>
      <c r="B22" s="225" t="s">
        <v>155</v>
      </c>
      <c r="C22" s="238">
        <v>3866</v>
      </c>
      <c r="D22" s="256">
        <f>1-(M22/C22)</f>
        <v>0.12684023507472575</v>
      </c>
      <c r="E22" s="239" t="s">
        <v>156</v>
      </c>
      <c r="F22" s="228" t="s">
        <v>134</v>
      </c>
      <c r="G22" s="227">
        <v>4</v>
      </c>
      <c r="H22" s="229">
        <v>3983</v>
      </c>
      <c r="I22" s="55">
        <f t="shared" si="0"/>
        <v>3903.34</v>
      </c>
      <c r="J22" s="229">
        <v>3677</v>
      </c>
      <c r="K22" s="57">
        <f t="shared" si="1"/>
        <v>3538.3891164842885</v>
      </c>
      <c r="L22" s="230">
        <v>3685</v>
      </c>
      <c r="M22" s="226">
        <f t="shared" si="2"/>
        <v>3375.6356512011102</v>
      </c>
      <c r="N22" s="59">
        <v>3556</v>
      </c>
      <c r="O22" s="231">
        <f t="shared" si="3"/>
        <v>3502.66</v>
      </c>
      <c r="P22" s="232">
        <v>4225</v>
      </c>
      <c r="Q22" s="233">
        <f t="shared" si="4"/>
        <v>3591.25</v>
      </c>
      <c r="R22" s="234" t="s">
        <v>154</v>
      </c>
      <c r="S22" s="235" t="s">
        <v>147</v>
      </c>
      <c r="T22" s="236">
        <v>3556</v>
      </c>
      <c r="V22" s="243"/>
    </row>
    <row r="23" spans="1:22" ht="15">
      <c r="A23" s="50">
        <v>10</v>
      </c>
      <c r="B23" s="225" t="s">
        <v>157</v>
      </c>
      <c r="C23" s="241"/>
      <c r="D23" s="241"/>
      <c r="E23" s="241"/>
      <c r="F23" s="228" t="s">
        <v>134</v>
      </c>
      <c r="G23" s="227">
        <v>684</v>
      </c>
      <c r="H23" s="229">
        <v>328</v>
      </c>
      <c r="I23" s="55">
        <f t="shared" si="0"/>
        <v>321.44</v>
      </c>
      <c r="J23" s="229">
        <v>397</v>
      </c>
      <c r="K23" s="57">
        <f t="shared" si="1"/>
        <v>382.03439740121365</v>
      </c>
      <c r="L23" s="230">
        <v>335</v>
      </c>
      <c r="M23" s="226">
        <f t="shared" si="2"/>
        <v>306.87596829101</v>
      </c>
      <c r="N23" s="59">
        <v>314</v>
      </c>
      <c r="O23" s="231">
        <f t="shared" si="3"/>
        <v>309.29000000000002</v>
      </c>
      <c r="P23" s="232">
        <v>380</v>
      </c>
      <c r="Q23" s="233">
        <f t="shared" si="4"/>
        <v>323</v>
      </c>
      <c r="R23" s="234" t="s">
        <v>154</v>
      </c>
      <c r="S23" s="235" t="s">
        <v>150</v>
      </c>
      <c r="T23" s="236">
        <v>314</v>
      </c>
      <c r="V23" s="237"/>
    </row>
    <row r="24" spans="1:22" ht="26.25">
      <c r="A24" s="50">
        <v>11</v>
      </c>
      <c r="B24" s="225" t="s">
        <v>158</v>
      </c>
      <c r="C24" s="238">
        <v>982</v>
      </c>
      <c r="D24" s="256">
        <f>1-(M24/C24)</f>
        <v>0.10820614133141149</v>
      </c>
      <c r="E24" s="239" t="s">
        <v>159</v>
      </c>
      <c r="F24" s="228" t="s">
        <v>134</v>
      </c>
      <c r="G24" s="227">
        <v>254</v>
      </c>
      <c r="H24" s="229">
        <v>959</v>
      </c>
      <c r="I24" s="55">
        <f t="shared" si="0"/>
        <v>939.81999999999994</v>
      </c>
      <c r="J24" s="229">
        <v>980</v>
      </c>
      <c r="K24" s="57">
        <f t="shared" si="1"/>
        <v>943.05720265286993</v>
      </c>
      <c r="L24" s="230">
        <v>956</v>
      </c>
      <c r="M24" s="226">
        <f t="shared" si="2"/>
        <v>875.74156921255394</v>
      </c>
      <c r="N24" s="59">
        <v>925</v>
      </c>
      <c r="O24" s="231">
        <f t="shared" si="3"/>
        <v>911.125</v>
      </c>
      <c r="P24" s="232">
        <v>1125</v>
      </c>
      <c r="Q24" s="233">
        <f t="shared" si="4"/>
        <v>956.25</v>
      </c>
      <c r="R24" s="234" t="s">
        <v>160</v>
      </c>
      <c r="S24" s="235" t="s">
        <v>136</v>
      </c>
      <c r="T24" s="236">
        <v>925</v>
      </c>
      <c r="V24" s="237"/>
    </row>
    <row r="25" spans="1:22" ht="26.25">
      <c r="A25" s="50">
        <v>12</v>
      </c>
      <c r="B25" s="225" t="s">
        <v>161</v>
      </c>
      <c r="C25" s="238">
        <v>1692</v>
      </c>
      <c r="D25" s="256">
        <f>1-(M25/C25)</f>
        <v>8.9366326760737413E-2</v>
      </c>
      <c r="E25" s="239" t="s">
        <v>159</v>
      </c>
      <c r="F25" s="228" t="s">
        <v>134</v>
      </c>
      <c r="G25" s="227">
        <v>36</v>
      </c>
      <c r="H25" s="229">
        <v>1664</v>
      </c>
      <c r="I25" s="55">
        <f t="shared" si="0"/>
        <v>1630.72</v>
      </c>
      <c r="J25" s="229">
        <v>1723</v>
      </c>
      <c r="K25" s="57">
        <f t="shared" si="1"/>
        <v>1658.0485307866275</v>
      </c>
      <c r="L25" s="230">
        <v>1682</v>
      </c>
      <c r="M25" s="226">
        <f t="shared" si="2"/>
        <v>1540.7921751208323</v>
      </c>
      <c r="N25" s="59">
        <v>1630</v>
      </c>
      <c r="O25" s="231">
        <f t="shared" si="3"/>
        <v>1605.55</v>
      </c>
      <c r="P25" s="232">
        <v>1980</v>
      </c>
      <c r="Q25" s="233">
        <f t="shared" si="4"/>
        <v>1683</v>
      </c>
      <c r="R25" s="234" t="s">
        <v>160</v>
      </c>
      <c r="S25" s="235" t="s">
        <v>147</v>
      </c>
      <c r="T25" s="236">
        <v>1630</v>
      </c>
      <c r="V25" s="243"/>
    </row>
    <row r="26" spans="1:22" ht="26.25">
      <c r="A26" s="50">
        <v>13</v>
      </c>
      <c r="B26" s="225" t="s">
        <v>162</v>
      </c>
      <c r="C26" s="238">
        <v>2612</v>
      </c>
      <c r="D26" s="256">
        <f>1-(M26/C26)</f>
        <v>0.11200892355279035</v>
      </c>
      <c r="E26" s="239" t="s">
        <v>159</v>
      </c>
      <c r="F26" s="228" t="s">
        <v>134</v>
      </c>
      <c r="G26" s="227">
        <v>37</v>
      </c>
      <c r="H26" s="229">
        <v>2499.5</v>
      </c>
      <c r="I26" s="55">
        <f t="shared" si="0"/>
        <v>2449.5099999999998</v>
      </c>
      <c r="J26" s="229">
        <v>2596</v>
      </c>
      <c r="K26" s="57">
        <f t="shared" si="1"/>
        <v>2498.1392837620924</v>
      </c>
      <c r="L26" s="230">
        <v>2532</v>
      </c>
      <c r="M26" s="226">
        <f t="shared" si="2"/>
        <v>2319.4326916801115</v>
      </c>
      <c r="N26" s="59">
        <v>2453</v>
      </c>
      <c r="O26" s="231">
        <f t="shared" si="3"/>
        <v>2416.2049999999999</v>
      </c>
      <c r="P26" s="232">
        <v>2980</v>
      </c>
      <c r="Q26" s="233">
        <f t="shared" si="4"/>
        <v>2533</v>
      </c>
      <c r="R26" s="234" t="s">
        <v>160</v>
      </c>
      <c r="S26" s="235" t="s">
        <v>150</v>
      </c>
      <c r="T26" s="236">
        <v>2453</v>
      </c>
      <c r="V26" s="243"/>
    </row>
    <row r="27" spans="1:22" ht="13.5" thickBot="1">
      <c r="A27" s="77"/>
      <c r="B27" s="78"/>
      <c r="C27" s="244"/>
      <c r="D27" s="244"/>
      <c r="E27" s="244"/>
      <c r="F27" s="245"/>
      <c r="G27" s="246"/>
      <c r="H27" s="247"/>
      <c r="I27" s="83"/>
      <c r="J27" s="77"/>
      <c r="K27" s="85"/>
      <c r="L27" s="248"/>
      <c r="M27" s="89"/>
      <c r="N27" s="87"/>
      <c r="O27" s="249"/>
      <c r="P27" s="250"/>
      <c r="Q27" s="251"/>
      <c r="R27" s="87"/>
      <c r="S27" s="89"/>
      <c r="V27" s="202"/>
    </row>
    <row r="28" spans="1:22" s="7" customFormat="1" ht="13.5" thickBot="1">
      <c r="A28" s="90" t="s">
        <v>58</v>
      </c>
      <c r="B28" s="91"/>
      <c r="C28" s="95"/>
      <c r="D28" s="255"/>
      <c r="E28" s="93"/>
      <c r="F28" s="93"/>
      <c r="G28" s="94">
        <f>SUM(G14:G27)</f>
        <v>1588</v>
      </c>
      <c r="H28" s="95">
        <f>SUMPRODUCT(H13:H27, $G$13:$G$27)</f>
        <v>3555548.5</v>
      </c>
      <c r="I28" s="95">
        <f>SUMPRODUCT(I14:I27, $G$14:$G$27)</f>
        <v>3484437.5299999993</v>
      </c>
      <c r="J28" s="95">
        <f t="shared" ref="J28:O28" si="5">SUMPRODUCT(J13:J27, $G$13:$G$27)</f>
        <v>3623171</v>
      </c>
      <c r="K28" s="95">
        <f t="shared" si="5"/>
        <v>3486589.2938704095</v>
      </c>
      <c r="L28" s="95">
        <f t="shared" si="5"/>
        <v>3638510</v>
      </c>
      <c r="M28" s="95">
        <f t="shared" si="5"/>
        <v>3333048.5951836505</v>
      </c>
      <c r="N28" s="95">
        <f t="shared" si="5"/>
        <v>3492983</v>
      </c>
      <c r="O28" s="95">
        <f t="shared" si="5"/>
        <v>3440588.2549999999</v>
      </c>
      <c r="P28" s="95">
        <f>SUMPRODUCT(P13:P27, $G$13:$G$27)</f>
        <v>4710375</v>
      </c>
      <c r="Q28" s="95">
        <f>SUMPRODUCT(Q13:Q27, $G$13:$G$27)</f>
        <v>4003818.75</v>
      </c>
      <c r="R28" s="95"/>
      <c r="S28" s="252"/>
      <c r="T28" s="95">
        <f>SUMPRODUCT(T13:T27, $G$13:$G$27)</f>
        <v>3487257</v>
      </c>
    </row>
    <row r="29" spans="1:22">
      <c r="A29" s="1860" t="s">
        <v>59</v>
      </c>
      <c r="B29" s="1861"/>
      <c r="C29" s="97"/>
      <c r="D29" s="97"/>
      <c r="E29" s="97"/>
      <c r="F29" s="97"/>
      <c r="G29" s="98"/>
      <c r="H29" s="99"/>
      <c r="I29" s="100"/>
      <c r="J29" s="101"/>
      <c r="K29" s="99"/>
      <c r="L29" s="99"/>
      <c r="M29" s="100"/>
      <c r="N29" s="99"/>
      <c r="O29" s="100"/>
      <c r="P29" s="99"/>
      <c r="Q29" s="100"/>
    </row>
    <row r="30" spans="1:22">
      <c r="A30" s="102" t="s">
        <v>60</v>
      </c>
      <c r="B30" s="103"/>
      <c r="C30" s="97"/>
      <c r="D30" s="97"/>
      <c r="E30" s="97"/>
      <c r="F30" s="97"/>
      <c r="G30" s="98"/>
      <c r="H30" s="104"/>
      <c r="I30" s="105" t="s">
        <v>61</v>
      </c>
      <c r="J30" s="106"/>
      <c r="K30" s="104" t="s">
        <v>61</v>
      </c>
      <c r="L30" s="104"/>
      <c r="M30" s="105" t="s">
        <v>61</v>
      </c>
      <c r="N30" s="104"/>
      <c r="O30" s="105" t="s">
        <v>61</v>
      </c>
      <c r="P30" s="104"/>
      <c r="Q30" s="105" t="s">
        <v>61</v>
      </c>
    </row>
    <row r="31" spans="1:22">
      <c r="A31" s="1862" t="s">
        <v>62</v>
      </c>
      <c r="B31" s="1863"/>
      <c r="C31" s="97"/>
      <c r="D31" s="97"/>
      <c r="E31" s="97"/>
      <c r="F31" s="97"/>
      <c r="G31" s="98"/>
      <c r="H31" s="104"/>
      <c r="I31" s="105"/>
      <c r="J31" s="106"/>
      <c r="K31" s="104"/>
      <c r="L31" s="104"/>
      <c r="M31" s="105"/>
      <c r="N31" s="104"/>
      <c r="O31" s="105"/>
      <c r="P31" s="104"/>
      <c r="Q31" s="105"/>
    </row>
    <row r="32" spans="1:22" ht="12.95" customHeight="1">
      <c r="A32" s="107" t="s">
        <v>63</v>
      </c>
      <c r="B32" s="108"/>
      <c r="C32" s="108"/>
      <c r="D32" s="108"/>
      <c r="E32" s="108"/>
      <c r="F32" s="108"/>
      <c r="G32" s="109"/>
      <c r="H32" s="110">
        <v>0.125</v>
      </c>
      <c r="I32" s="110">
        <v>0.125</v>
      </c>
      <c r="J32" s="110">
        <v>0.125</v>
      </c>
      <c r="K32" s="110">
        <v>0.125</v>
      </c>
      <c r="L32" s="110">
        <v>0.125</v>
      </c>
      <c r="M32" s="110">
        <v>0.125</v>
      </c>
      <c r="N32" s="110">
        <v>0.125</v>
      </c>
      <c r="O32" s="110">
        <v>0.125</v>
      </c>
      <c r="P32" s="110">
        <v>0.125</v>
      </c>
      <c r="Q32" s="110">
        <v>0.125</v>
      </c>
    </row>
    <row r="33" spans="1:17" ht="12.95" customHeight="1">
      <c r="A33" s="107"/>
      <c r="B33" s="108" t="s">
        <v>64</v>
      </c>
      <c r="C33" s="111"/>
      <c r="D33" s="111"/>
      <c r="E33" s="111"/>
      <c r="F33" s="111"/>
      <c r="G33" s="112"/>
      <c r="H33" s="113">
        <f>(H28+H29+H30+H31)*H32</f>
        <v>444443.5625</v>
      </c>
      <c r="I33" s="114">
        <f>(I28+I29+I31)*I32</f>
        <v>435554.69124999992</v>
      </c>
      <c r="J33" s="115">
        <f>(J28+J29+J30+J31)*J32</f>
        <v>452896.375</v>
      </c>
      <c r="K33" s="113">
        <f>(K28+K29+K31)*K32</f>
        <v>435823.66173380119</v>
      </c>
      <c r="L33" s="113">
        <f>(L28+L29+L30+L31)*L32</f>
        <v>454813.75</v>
      </c>
      <c r="M33" s="114">
        <f>(M28+M29+M31)*M32</f>
        <v>416631.07439795631</v>
      </c>
      <c r="N33" s="113">
        <f>(N28+N29+N30+N31)*N32</f>
        <v>436622.875</v>
      </c>
      <c r="O33" s="114">
        <f>(O28+O29+O31)*O32</f>
        <v>430073.53187499999</v>
      </c>
      <c r="P33" s="113">
        <f>(P28+P29+P30+P31)*P32</f>
        <v>588796.875</v>
      </c>
      <c r="Q33" s="114">
        <f>(Q28+Q29+Q31)*Q32</f>
        <v>500477.34375</v>
      </c>
    </row>
    <row r="34" spans="1:17">
      <c r="A34" s="1862" t="s">
        <v>65</v>
      </c>
      <c r="B34" s="1863"/>
      <c r="C34" s="111"/>
      <c r="D34" s="111"/>
      <c r="E34" s="111"/>
      <c r="F34" s="116"/>
      <c r="G34" s="117"/>
      <c r="H34" s="118">
        <v>0.05</v>
      </c>
      <c r="I34" s="118">
        <v>0.05</v>
      </c>
      <c r="J34" s="118">
        <v>0.05</v>
      </c>
      <c r="K34" s="118">
        <v>0.05</v>
      </c>
      <c r="L34" s="118">
        <v>0.05</v>
      </c>
      <c r="M34" s="118">
        <v>0.05</v>
      </c>
      <c r="N34" s="118">
        <v>0.05</v>
      </c>
      <c r="O34" s="118">
        <v>0.05</v>
      </c>
      <c r="P34" s="118">
        <v>0.05</v>
      </c>
      <c r="Q34" s="118">
        <v>0.05</v>
      </c>
    </row>
    <row r="35" spans="1:17" ht="12.95" customHeight="1">
      <c r="A35" s="102"/>
      <c r="B35" s="103" t="s">
        <v>66</v>
      </c>
      <c r="C35" s="111"/>
      <c r="D35" s="111"/>
      <c r="E35" s="111"/>
      <c r="F35" s="116"/>
      <c r="G35" s="117"/>
      <c r="H35" s="113">
        <f>(H33+H29+H30+H31+H28)*H34</f>
        <v>199999.60312500002</v>
      </c>
      <c r="I35" s="114">
        <f>(I33+I29+I31+I28)*I34</f>
        <v>195999.61106249999</v>
      </c>
      <c r="J35" s="115">
        <f>(J33+J29+J30+J31+J28)*J34</f>
        <v>203803.36875000002</v>
      </c>
      <c r="K35" s="113">
        <f>(K33+K29+K31+K28)*K34</f>
        <v>196120.64778021054</v>
      </c>
      <c r="L35" s="113">
        <f>(L33+L29+L30+L31+L28)*L34</f>
        <v>204666.1875</v>
      </c>
      <c r="M35" s="114">
        <f>(M33+M29+M31+M28)*M34</f>
        <v>187483.98347908037</v>
      </c>
      <c r="N35" s="113">
        <f>(N33+N29+N30+N31+N28)*N34</f>
        <v>196480.29375000001</v>
      </c>
      <c r="O35" s="114">
        <f>(O33+O29+O31+O28)*O34</f>
        <v>193533.08934375001</v>
      </c>
      <c r="P35" s="113">
        <f>(P33+P29+P30+P31+P28)*P34</f>
        <v>264958.59375</v>
      </c>
      <c r="Q35" s="114">
        <f>(Q33+Q29+Q31+Q28)*Q34</f>
        <v>225214.8046875</v>
      </c>
    </row>
    <row r="36" spans="1:17" ht="12.95" customHeight="1">
      <c r="A36" s="102" t="s">
        <v>67</v>
      </c>
      <c r="B36" s="103"/>
      <c r="C36" s="111"/>
      <c r="D36" s="111"/>
      <c r="E36" s="111"/>
      <c r="F36" s="116"/>
      <c r="G36" s="117"/>
      <c r="H36" s="118"/>
      <c r="I36" s="118"/>
      <c r="J36" s="118"/>
      <c r="K36" s="118"/>
      <c r="L36" s="118"/>
      <c r="M36" s="118"/>
      <c r="N36" s="118"/>
      <c r="O36" s="118"/>
      <c r="P36" s="118"/>
      <c r="Q36" s="118"/>
    </row>
    <row r="37" spans="1:17" ht="12.95" customHeight="1">
      <c r="A37" s="102"/>
      <c r="B37" s="103" t="s">
        <v>68</v>
      </c>
      <c r="C37" s="111"/>
      <c r="D37" s="111"/>
      <c r="E37" s="111"/>
      <c r="F37" s="116"/>
      <c r="G37" s="117"/>
      <c r="H37" s="113">
        <f>(H33+H29+H30+H31+H28)*H36</f>
        <v>0</v>
      </c>
      <c r="I37" s="114">
        <f>(I33+I29+I31+I28)*I36</f>
        <v>0</v>
      </c>
      <c r="J37" s="115">
        <f>(J33+J29+J30+J31+J28)*J36</f>
        <v>0</v>
      </c>
      <c r="K37" s="113">
        <f>(K33+K29+K31+K28)*K36</f>
        <v>0</v>
      </c>
      <c r="L37" s="113">
        <f>(L33+L29+L30+L31+L28)*L36</f>
        <v>0</v>
      </c>
      <c r="M37" s="114">
        <f>(M33+M29+M31+M28)*M36</f>
        <v>0</v>
      </c>
      <c r="N37" s="113">
        <f>(N33+N29+N30+N31+N28)*N36</f>
        <v>0</v>
      </c>
      <c r="O37" s="114">
        <f>(O33+O29+O31+O28)*O36</f>
        <v>0</v>
      </c>
      <c r="P37" s="113">
        <f>(P33+P29+P30+P31+P28)*P36</f>
        <v>0</v>
      </c>
      <c r="Q37" s="114">
        <f>(Q33+Q29+Q31+Q28)*Q36</f>
        <v>0</v>
      </c>
    </row>
    <row r="38" spans="1:17" ht="12.95" customHeight="1">
      <c r="A38" s="1862" t="s">
        <v>69</v>
      </c>
      <c r="B38" s="1863"/>
      <c r="C38" s="111"/>
      <c r="D38" s="111"/>
      <c r="E38" s="111"/>
      <c r="F38" s="120"/>
      <c r="G38" s="117"/>
      <c r="H38" s="118"/>
      <c r="I38" s="121"/>
      <c r="J38" s="119"/>
      <c r="K38" s="118"/>
      <c r="L38" s="118"/>
      <c r="M38" s="121"/>
      <c r="N38" s="118"/>
      <c r="O38" s="121"/>
      <c r="P38" s="118"/>
      <c r="Q38" s="121"/>
    </row>
    <row r="39" spans="1:17" ht="12.95" customHeight="1">
      <c r="A39" s="122"/>
      <c r="B39" s="123" t="s">
        <v>70</v>
      </c>
      <c r="C39" s="124"/>
      <c r="D39" s="124"/>
      <c r="E39" s="124"/>
      <c r="F39" s="125"/>
      <c r="G39" s="126"/>
      <c r="H39" s="113">
        <f t="shared" ref="H39:Q39" si="6">H28*H38</f>
        <v>0</v>
      </c>
      <c r="I39" s="114">
        <f t="shared" si="6"/>
        <v>0</v>
      </c>
      <c r="J39" s="115">
        <f t="shared" si="6"/>
        <v>0</v>
      </c>
      <c r="K39" s="113">
        <f t="shared" si="6"/>
        <v>0</v>
      </c>
      <c r="L39" s="113">
        <f t="shared" si="6"/>
        <v>0</v>
      </c>
      <c r="M39" s="114">
        <f t="shared" si="6"/>
        <v>0</v>
      </c>
      <c r="N39" s="113">
        <f t="shared" si="6"/>
        <v>0</v>
      </c>
      <c r="O39" s="114">
        <f t="shared" si="6"/>
        <v>0</v>
      </c>
      <c r="P39" s="113">
        <f t="shared" si="6"/>
        <v>0</v>
      </c>
      <c r="Q39" s="114">
        <f t="shared" si="6"/>
        <v>0</v>
      </c>
    </row>
    <row r="40" spans="1:17" ht="13.5" thickBot="1">
      <c r="A40" s="1864"/>
      <c r="B40" s="1865"/>
      <c r="C40" s="124"/>
      <c r="D40" s="124"/>
      <c r="E40" s="124"/>
      <c r="F40" s="124"/>
      <c r="G40" s="127"/>
      <c r="H40" s="128"/>
      <c r="I40" s="129"/>
      <c r="J40" s="130"/>
      <c r="K40" s="128"/>
      <c r="L40" s="128"/>
      <c r="M40" s="129"/>
      <c r="N40" s="128"/>
      <c r="O40" s="129"/>
      <c r="P40" s="128"/>
      <c r="Q40" s="129"/>
    </row>
    <row r="41" spans="1:17" ht="13.5" thickBot="1">
      <c r="A41" s="131" t="s">
        <v>71</v>
      </c>
      <c r="B41" s="132"/>
      <c r="C41" s="132"/>
      <c r="D41" s="132"/>
      <c r="E41" s="132"/>
      <c r="F41" s="132"/>
      <c r="G41" s="133"/>
      <c r="H41" s="134">
        <f>SUM(H28:H40)</f>
        <v>4199991.8406250002</v>
      </c>
      <c r="I41" s="135">
        <f>SUM(I28:I40)</f>
        <v>4115992.0073124995</v>
      </c>
      <c r="J41" s="134">
        <f>SUM(J28,J29,J31,J33,J35)</f>
        <v>4279870.7437500004</v>
      </c>
      <c r="K41" s="135">
        <f t="shared" ref="K41:Q41" si="7">SUM(K28:K40)</f>
        <v>4118533.778384421</v>
      </c>
      <c r="L41" s="134">
        <f t="shared" si="7"/>
        <v>4297990.1124999998</v>
      </c>
      <c r="M41" s="135">
        <f t="shared" si="7"/>
        <v>3937163.8280606871</v>
      </c>
      <c r="N41" s="134">
        <f t="shared" si="7"/>
        <v>4126086.34375</v>
      </c>
      <c r="O41" s="135">
        <f t="shared" si="7"/>
        <v>4064195.0512187495</v>
      </c>
      <c r="P41" s="134">
        <f t="shared" si="7"/>
        <v>5564130.6437499998</v>
      </c>
      <c r="Q41" s="135">
        <f t="shared" si="7"/>
        <v>4729511.0734374998</v>
      </c>
    </row>
    <row r="42" spans="1:17" s="142" customFormat="1" ht="13.5" thickBot="1">
      <c r="A42" s="137"/>
      <c r="B42" s="138"/>
      <c r="C42" s="138"/>
      <c r="D42" s="138"/>
      <c r="E42" s="138"/>
      <c r="F42" s="138"/>
      <c r="G42" s="138"/>
      <c r="H42" s="139"/>
      <c r="I42" s="140"/>
      <c r="J42" s="139"/>
      <c r="K42" s="140"/>
      <c r="L42" s="139"/>
      <c r="M42" s="140"/>
      <c r="N42" s="139"/>
      <c r="O42" s="140"/>
      <c r="P42" s="139"/>
      <c r="Q42" s="140"/>
    </row>
    <row r="43" spans="1:17" s="7" customFormat="1" ht="13.5" thickBot="1">
      <c r="A43" s="131" t="s">
        <v>72</v>
      </c>
      <c r="B43" s="132"/>
      <c r="C43" s="132"/>
      <c r="D43" s="132"/>
      <c r="E43" s="132"/>
      <c r="F43" s="132"/>
      <c r="G43" s="133"/>
      <c r="H43" s="135">
        <f>H28+H37+H29+H31+H30</f>
        <v>3555548.5</v>
      </c>
      <c r="I43" s="143">
        <f>I28+I37</f>
        <v>3484437.5299999993</v>
      </c>
      <c r="J43" s="135">
        <f>J28+J31</f>
        <v>3623171</v>
      </c>
      <c r="K43" s="135">
        <f>K28+K31</f>
        <v>3486589.2938704095</v>
      </c>
      <c r="L43" s="135">
        <f>L28+L37+L29+L31+L30</f>
        <v>3638510</v>
      </c>
      <c r="M43" s="143">
        <f>M28+M37+M29+M31</f>
        <v>3333048.5951836505</v>
      </c>
      <c r="N43" s="135">
        <f>N28+N37+N29+N31+N30</f>
        <v>3492983</v>
      </c>
      <c r="O43" s="143">
        <f>O28+O37+O29+O31</f>
        <v>3440588.2549999999</v>
      </c>
      <c r="P43" s="135">
        <f>P28+P37+P29+P31+P30</f>
        <v>4710375</v>
      </c>
      <c r="Q43" s="143">
        <f>Q28+Q37+Q29+Q31</f>
        <v>4003818.75</v>
      </c>
    </row>
    <row r="44" spans="1:17" ht="13.5" thickBot="1">
      <c r="A44" s="145"/>
      <c r="B44" s="146"/>
      <c r="C44" s="147"/>
      <c r="D44" s="147"/>
      <c r="E44" s="147"/>
      <c r="F44" s="147"/>
      <c r="G44" s="148"/>
      <c r="H44" s="149"/>
      <c r="I44" s="150"/>
      <c r="J44" s="149"/>
      <c r="K44" s="151"/>
      <c r="L44" s="149"/>
      <c r="M44" s="150"/>
      <c r="N44" s="149"/>
      <c r="O44" s="150"/>
      <c r="P44" s="149"/>
      <c r="Q44" s="150"/>
    </row>
    <row r="45" spans="1:17">
      <c r="A45" s="155" t="s">
        <v>73</v>
      </c>
      <c r="B45" s="156" t="s">
        <v>74</v>
      </c>
      <c r="C45" s="157"/>
      <c r="D45" s="157"/>
      <c r="E45" s="157"/>
      <c r="F45" s="157"/>
      <c r="G45" s="158"/>
      <c r="H45" s="159" t="s">
        <v>75</v>
      </c>
      <c r="I45" s="159" t="s">
        <v>163</v>
      </c>
      <c r="J45" s="159" t="s">
        <v>163</v>
      </c>
      <c r="K45" s="159" t="s">
        <v>163</v>
      </c>
      <c r="L45" s="159" t="s">
        <v>164</v>
      </c>
      <c r="M45" s="159" t="s">
        <v>164</v>
      </c>
      <c r="N45" s="159" t="s">
        <v>164</v>
      </c>
      <c r="O45" s="159" t="s">
        <v>164</v>
      </c>
      <c r="P45" s="159" t="s">
        <v>164</v>
      </c>
      <c r="Q45" s="159" t="s">
        <v>164</v>
      </c>
    </row>
    <row r="46" spans="1:17" ht="13.5" thickBot="1">
      <c r="A46" s="164" t="s">
        <v>79</v>
      </c>
      <c r="B46" s="165" t="s">
        <v>80</v>
      </c>
      <c r="C46" s="166"/>
      <c r="D46" s="166"/>
      <c r="E46" s="166"/>
      <c r="F46" s="166"/>
      <c r="G46" s="167"/>
      <c r="H46" s="159" t="s">
        <v>165</v>
      </c>
      <c r="I46" s="168" t="s">
        <v>82</v>
      </c>
      <c r="J46" s="169" t="s">
        <v>82</v>
      </c>
      <c r="K46" s="170" t="s">
        <v>82</v>
      </c>
      <c r="L46" s="170" t="s">
        <v>166</v>
      </c>
      <c r="M46" s="170" t="s">
        <v>82</v>
      </c>
      <c r="N46" s="170" t="s">
        <v>166</v>
      </c>
      <c r="O46" s="170" t="s">
        <v>82</v>
      </c>
      <c r="P46" s="170" t="s">
        <v>166</v>
      </c>
      <c r="Q46" s="170" t="s">
        <v>82</v>
      </c>
    </row>
    <row r="47" spans="1:17" ht="76.5">
      <c r="A47" s="173" t="s">
        <v>85</v>
      </c>
      <c r="B47" s="174" t="s">
        <v>86</v>
      </c>
      <c r="C47" s="175"/>
      <c r="D47" s="175"/>
      <c r="E47" s="175"/>
      <c r="F47" s="175"/>
      <c r="G47" s="176"/>
      <c r="H47" s="177" t="s">
        <v>167</v>
      </c>
      <c r="I47" s="177" t="s">
        <v>168</v>
      </c>
      <c r="J47" s="177" t="s">
        <v>168</v>
      </c>
      <c r="K47" s="177" t="s">
        <v>168</v>
      </c>
      <c r="L47" s="177" t="s">
        <v>167</v>
      </c>
      <c r="M47" s="177" t="s">
        <v>168</v>
      </c>
      <c r="N47" s="177" t="s">
        <v>167</v>
      </c>
      <c r="O47" s="177" t="s">
        <v>168</v>
      </c>
      <c r="P47" s="177" t="s">
        <v>167</v>
      </c>
      <c r="Q47" s="177" t="s">
        <v>168</v>
      </c>
    </row>
    <row r="48" spans="1:17">
      <c r="A48" s="181" t="s">
        <v>90</v>
      </c>
      <c r="B48" s="175" t="s">
        <v>91</v>
      </c>
      <c r="C48" s="175"/>
      <c r="D48" s="175"/>
      <c r="E48" s="175"/>
      <c r="F48" s="175"/>
      <c r="G48" s="176"/>
      <c r="H48" s="177" t="s">
        <v>92</v>
      </c>
      <c r="I48" s="182" t="s">
        <v>92</v>
      </c>
      <c r="J48" s="182" t="s">
        <v>92</v>
      </c>
      <c r="K48" s="182" t="s">
        <v>92</v>
      </c>
      <c r="L48" s="182" t="s">
        <v>92</v>
      </c>
      <c r="M48" s="182" t="s">
        <v>92</v>
      </c>
      <c r="N48" s="182" t="s">
        <v>92</v>
      </c>
      <c r="O48" s="182" t="s">
        <v>92</v>
      </c>
      <c r="P48" s="182" t="s">
        <v>92</v>
      </c>
      <c r="Q48" s="182" t="s">
        <v>92</v>
      </c>
    </row>
    <row r="49" spans="1:17" ht="39.950000000000003" customHeight="1">
      <c r="A49" s="181" t="s">
        <v>93</v>
      </c>
      <c r="B49" s="174" t="s">
        <v>94</v>
      </c>
      <c r="C49" s="175"/>
      <c r="D49" s="175"/>
      <c r="E49" s="175"/>
      <c r="F49" s="175"/>
      <c r="G49" s="176"/>
      <c r="H49" s="184"/>
      <c r="I49" s="185"/>
      <c r="J49" s="184"/>
      <c r="K49" s="186"/>
      <c r="L49" s="186"/>
      <c r="M49" s="186"/>
      <c r="N49" s="186"/>
      <c r="O49" s="186"/>
      <c r="P49" s="186"/>
      <c r="Q49" s="186"/>
    </row>
    <row r="50" spans="1:17" ht="140.25">
      <c r="A50" s="181" t="s">
        <v>95</v>
      </c>
      <c r="B50" s="174" t="s">
        <v>96</v>
      </c>
      <c r="C50" s="175"/>
      <c r="D50" s="175"/>
      <c r="E50" s="175"/>
      <c r="F50" s="175"/>
      <c r="G50" s="176"/>
      <c r="H50" s="177" t="s">
        <v>97</v>
      </c>
      <c r="I50" s="177" t="s">
        <v>97</v>
      </c>
      <c r="J50" s="177" t="s">
        <v>97</v>
      </c>
      <c r="K50" s="177" t="s">
        <v>98</v>
      </c>
      <c r="L50" s="177" t="s">
        <v>98</v>
      </c>
      <c r="M50" s="177" t="s">
        <v>98</v>
      </c>
      <c r="N50" s="177" t="s">
        <v>98</v>
      </c>
      <c r="O50" s="177" t="s">
        <v>98</v>
      </c>
      <c r="P50" s="177" t="s">
        <v>98</v>
      </c>
      <c r="Q50" s="177" t="s">
        <v>98</v>
      </c>
    </row>
    <row r="51" spans="1:17" ht="64.5" thickBot="1">
      <c r="A51" s="189" t="s">
        <v>99</v>
      </c>
      <c r="B51" s="190" t="s">
        <v>100</v>
      </c>
      <c r="C51" s="191"/>
      <c r="D51" s="191"/>
      <c r="E51" s="191"/>
      <c r="F51" s="191"/>
      <c r="G51" s="192"/>
      <c r="H51" s="193" t="s">
        <v>101</v>
      </c>
      <c r="I51" s="193" t="s">
        <v>101</v>
      </c>
      <c r="J51" s="193" t="s">
        <v>101</v>
      </c>
      <c r="K51" s="193" t="s">
        <v>101</v>
      </c>
      <c r="L51" s="193" t="s">
        <v>101</v>
      </c>
      <c r="M51" s="193" t="s">
        <v>101</v>
      </c>
      <c r="N51" s="193" t="s">
        <v>101</v>
      </c>
      <c r="O51" s="193" t="s">
        <v>101</v>
      </c>
      <c r="P51" s="193" t="s">
        <v>101</v>
      </c>
      <c r="Q51" s="193" t="s">
        <v>101</v>
      </c>
    </row>
    <row r="52" spans="1:17" ht="30" customHeight="1">
      <c r="A52" s="1866" t="s">
        <v>102</v>
      </c>
      <c r="B52" s="1867"/>
      <c r="C52" s="1971"/>
      <c r="D52" s="253"/>
      <c r="E52" s="253"/>
      <c r="F52" s="1858" t="s">
        <v>103</v>
      </c>
      <c r="G52" s="1859"/>
      <c r="H52" s="1859"/>
      <c r="I52" s="1859"/>
      <c r="J52" s="1966"/>
      <c r="K52" s="1856" t="s">
        <v>104</v>
      </c>
      <c r="L52" s="1857"/>
      <c r="M52" s="1857"/>
      <c r="N52" s="1857"/>
      <c r="O52" s="1857"/>
      <c r="P52" s="1857"/>
      <c r="Q52" s="1967"/>
    </row>
    <row r="53" spans="1:17" ht="13.5" thickBot="1">
      <c r="A53" s="1866"/>
      <c r="B53" s="1867"/>
      <c r="C53" s="1971"/>
      <c r="D53" s="253"/>
      <c r="E53" s="253"/>
      <c r="F53" s="1858"/>
      <c r="G53" s="1859"/>
      <c r="H53" s="1859"/>
      <c r="I53" s="1859"/>
      <c r="J53" s="1966"/>
      <c r="K53" s="1968"/>
      <c r="L53" s="1969"/>
      <c r="M53" s="1969"/>
      <c r="N53" s="1969"/>
      <c r="O53" s="1969"/>
      <c r="P53" s="1969"/>
      <c r="Q53" s="1970"/>
    </row>
    <row r="54" spans="1:17">
      <c r="A54" s="149"/>
      <c r="B54" s="197"/>
      <c r="C54" s="152"/>
      <c r="D54" s="152"/>
      <c r="E54" s="152"/>
      <c r="F54" s="152"/>
      <c r="G54" s="198"/>
      <c r="H54" s="152"/>
      <c r="I54" s="152"/>
      <c r="J54" s="152"/>
      <c r="K54" s="152"/>
      <c r="L54" s="152"/>
      <c r="M54" s="152"/>
      <c r="N54" s="152"/>
      <c r="O54" s="152"/>
      <c r="P54" s="152"/>
      <c r="Q54" s="199"/>
    </row>
    <row r="55" spans="1:17">
      <c r="A55" s="200"/>
      <c r="B55" s="201"/>
      <c r="C55" s="202"/>
      <c r="D55" s="202"/>
      <c r="E55" s="202"/>
      <c r="F55" s="202"/>
      <c r="G55" s="203"/>
      <c r="H55" s="202"/>
      <c r="I55" s="202"/>
      <c r="J55" s="202"/>
      <c r="K55" s="202"/>
      <c r="L55" s="202"/>
      <c r="M55" s="202"/>
      <c r="N55" s="202"/>
      <c r="O55" s="202"/>
      <c r="P55" s="202"/>
      <c r="Q55" s="204"/>
    </row>
    <row r="56" spans="1:17">
      <c r="A56" s="200"/>
      <c r="B56" s="27" t="s">
        <v>105</v>
      </c>
      <c r="C56" s="28"/>
      <c r="D56" s="28"/>
      <c r="E56" s="28"/>
      <c r="F56" s="28"/>
      <c r="G56" s="28" t="s">
        <v>106</v>
      </c>
      <c r="H56" s="202"/>
      <c r="I56" s="28"/>
      <c r="J56" s="28"/>
      <c r="K56" s="28"/>
      <c r="L56" s="28" t="s">
        <v>107</v>
      </c>
      <c r="M56" s="202"/>
      <c r="N56" s="202"/>
      <c r="O56" s="202"/>
      <c r="P56" s="202"/>
      <c r="Q56" s="204"/>
    </row>
    <row r="57" spans="1:17" ht="13.5" thickBot="1">
      <c r="A57" s="205"/>
      <c r="B57" s="206"/>
      <c r="C57" s="207"/>
      <c r="D57" s="207"/>
      <c r="E57" s="207"/>
      <c r="F57" s="207"/>
      <c r="G57" s="207"/>
      <c r="H57" s="207"/>
      <c r="I57" s="207"/>
      <c r="J57" s="207"/>
      <c r="K57" s="207"/>
      <c r="L57" s="207"/>
      <c r="M57" s="207"/>
      <c r="N57" s="207"/>
      <c r="O57" s="207"/>
      <c r="P57" s="207"/>
      <c r="Q57" s="208"/>
    </row>
  </sheetData>
  <mergeCells count="37">
    <mergeCell ref="F52:J53"/>
    <mergeCell ref="K52:Q53"/>
    <mergeCell ref="A29:B29"/>
    <mergeCell ref="A31:B31"/>
    <mergeCell ref="A34:B34"/>
    <mergeCell ref="A38:B38"/>
    <mergeCell ref="A40:B40"/>
    <mergeCell ref="A52:C53"/>
    <mergeCell ref="L8:M9"/>
    <mergeCell ref="N8:O9"/>
    <mergeCell ref="P8:Q9"/>
    <mergeCell ref="H11:I11"/>
    <mergeCell ref="J11:K11"/>
    <mergeCell ref="L11:M11"/>
    <mergeCell ref="N11:O11"/>
    <mergeCell ref="P11:Q11"/>
    <mergeCell ref="H10:I10"/>
    <mergeCell ref="J10:K10"/>
    <mergeCell ref="L10:M10"/>
    <mergeCell ref="N10:O10"/>
    <mergeCell ref="P10:Q10"/>
    <mergeCell ref="A2:Q2"/>
    <mergeCell ref="A3:Q3"/>
    <mergeCell ref="G4:G5"/>
    <mergeCell ref="H4:I5"/>
    <mergeCell ref="A7:A12"/>
    <mergeCell ref="B7:B12"/>
    <mergeCell ref="C7:C12"/>
    <mergeCell ref="F7:F12"/>
    <mergeCell ref="G7:G12"/>
    <mergeCell ref="H7:I7"/>
    <mergeCell ref="J7:K7"/>
    <mergeCell ref="L7:M7"/>
    <mergeCell ref="N7:O7"/>
    <mergeCell ref="P7:Q7"/>
    <mergeCell ref="H8:I9"/>
    <mergeCell ref="J8:K9"/>
  </mergeCells>
  <pageMargins left="0.25" right="0.25" top="0.75" bottom="0.75" header="0.3" footer="0.3"/>
  <pageSetup paperSize="9" scale="5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8"/>
  <sheetViews>
    <sheetView topLeftCell="E73" zoomScaleNormal="100" workbookViewId="0">
      <selection activeCell="N91" sqref="N91"/>
    </sheetView>
  </sheetViews>
  <sheetFormatPr defaultRowHeight="12.75"/>
  <cols>
    <col min="1" max="1" width="6.140625" style="9" customWidth="1"/>
    <col min="2" max="2" width="52.7109375" style="209" customWidth="1"/>
    <col min="3" max="3" width="11.7109375" style="9" customWidth="1"/>
    <col min="4" max="4" width="22" style="9" customWidth="1"/>
    <col min="5" max="5" width="12.7109375" style="310" customWidth="1"/>
    <col min="6" max="6" width="6.140625" style="9" customWidth="1"/>
    <col min="7" max="7" width="12.7109375" style="310" customWidth="1"/>
    <col min="8" max="8" width="21.85546875" style="9" customWidth="1"/>
    <col min="9" max="9" width="19.140625" style="9" customWidth="1"/>
    <col min="10" max="10" width="20.5703125" style="9" customWidth="1"/>
    <col min="11" max="11" width="18.85546875" style="9" customWidth="1"/>
    <col min="12" max="12" width="23.28515625" style="9" customWidth="1"/>
    <col min="13" max="13" width="24.140625" style="9" customWidth="1"/>
    <col min="14" max="14" width="14.85546875" style="9" customWidth="1"/>
    <col min="15" max="15" width="18" style="9" customWidth="1"/>
    <col min="16" max="16" width="12.28515625" style="9" customWidth="1"/>
    <col min="17" max="17" width="13" style="9" customWidth="1"/>
    <col min="18" max="18" width="11.5703125" style="9" customWidth="1"/>
    <col min="19" max="19" width="11.140625" style="9" bestFit="1" customWidth="1"/>
    <col min="20" max="20" width="28.140625" style="9" customWidth="1"/>
    <col min="21" max="258" width="9.140625" style="9"/>
    <col min="259" max="259" width="4" style="9" customWidth="1"/>
    <col min="260" max="260" width="30.7109375" style="9" customWidth="1"/>
    <col min="261" max="262" width="10" style="9" customWidth="1"/>
    <col min="263" max="263" width="9.85546875" style="9" customWidth="1"/>
    <col min="264" max="264" width="12.42578125" style="9" customWidth="1"/>
    <col min="265" max="270" width="12.7109375" style="9" customWidth="1"/>
    <col min="271" max="271" width="13" style="9" customWidth="1"/>
    <col min="272" max="273" width="12.7109375" style="9" customWidth="1"/>
    <col min="274" max="274" width="9.140625" style="9"/>
    <col min="275" max="275" width="11.140625" style="9" bestFit="1" customWidth="1"/>
    <col min="276" max="514" width="9.140625" style="9"/>
    <col min="515" max="515" width="4" style="9" customWidth="1"/>
    <col min="516" max="516" width="30.7109375" style="9" customWidth="1"/>
    <col min="517" max="518" width="10" style="9" customWidth="1"/>
    <col min="519" max="519" width="9.85546875" style="9" customWidth="1"/>
    <col min="520" max="520" width="12.42578125" style="9" customWidth="1"/>
    <col min="521" max="526" width="12.7109375" style="9" customWidth="1"/>
    <col min="527" max="527" width="13" style="9" customWidth="1"/>
    <col min="528" max="529" width="12.7109375" style="9" customWidth="1"/>
    <col min="530" max="530" width="9.140625" style="9"/>
    <col min="531" max="531" width="11.140625" style="9" bestFit="1" customWidth="1"/>
    <col min="532" max="770" width="9.140625" style="9"/>
    <col min="771" max="771" width="4" style="9" customWidth="1"/>
    <col min="772" max="772" width="30.7109375" style="9" customWidth="1"/>
    <col min="773" max="774" width="10" style="9" customWidth="1"/>
    <col min="775" max="775" width="9.85546875" style="9" customWidth="1"/>
    <col min="776" max="776" width="12.42578125" style="9" customWidth="1"/>
    <col min="777" max="782" width="12.7109375" style="9" customWidth="1"/>
    <col min="783" max="783" width="13" style="9" customWidth="1"/>
    <col min="784" max="785" width="12.7109375" style="9" customWidth="1"/>
    <col min="786" max="786" width="9.140625" style="9"/>
    <col min="787" max="787" width="11.140625" style="9" bestFit="1" customWidth="1"/>
    <col min="788" max="1026" width="9.140625" style="9"/>
    <col min="1027" max="1027" width="4" style="9" customWidth="1"/>
    <col min="1028" max="1028" width="30.7109375" style="9" customWidth="1"/>
    <col min="1029" max="1030" width="10" style="9" customWidth="1"/>
    <col min="1031" max="1031" width="9.85546875" style="9" customWidth="1"/>
    <col min="1032" max="1032" width="12.42578125" style="9" customWidth="1"/>
    <col min="1033" max="1038" width="12.7109375" style="9" customWidth="1"/>
    <col min="1039" max="1039" width="13" style="9" customWidth="1"/>
    <col min="1040" max="1041" width="12.7109375" style="9" customWidth="1"/>
    <col min="1042" max="1042" width="9.140625" style="9"/>
    <col min="1043" max="1043" width="11.140625" style="9" bestFit="1" customWidth="1"/>
    <col min="1044" max="1282" width="9.140625" style="9"/>
    <col min="1283" max="1283" width="4" style="9" customWidth="1"/>
    <col min="1284" max="1284" width="30.7109375" style="9" customWidth="1"/>
    <col min="1285" max="1286" width="10" style="9" customWidth="1"/>
    <col min="1287" max="1287" width="9.85546875" style="9" customWidth="1"/>
    <col min="1288" max="1288" width="12.42578125" style="9" customWidth="1"/>
    <col min="1289" max="1294" width="12.7109375" style="9" customWidth="1"/>
    <col min="1295" max="1295" width="13" style="9" customWidth="1"/>
    <col min="1296" max="1297" width="12.7109375" style="9" customWidth="1"/>
    <col min="1298" max="1298" width="9.140625" style="9"/>
    <col min="1299" max="1299" width="11.140625" style="9" bestFit="1" customWidth="1"/>
    <col min="1300" max="1538" width="9.140625" style="9"/>
    <col min="1539" max="1539" width="4" style="9" customWidth="1"/>
    <col min="1540" max="1540" width="30.7109375" style="9" customWidth="1"/>
    <col min="1541" max="1542" width="10" style="9" customWidth="1"/>
    <col min="1543" max="1543" width="9.85546875" style="9" customWidth="1"/>
    <col min="1544" max="1544" width="12.42578125" style="9" customWidth="1"/>
    <col min="1545" max="1550" width="12.7109375" style="9" customWidth="1"/>
    <col min="1551" max="1551" width="13" style="9" customWidth="1"/>
    <col min="1552" max="1553" width="12.7109375" style="9" customWidth="1"/>
    <col min="1554" max="1554" width="9.140625" style="9"/>
    <col min="1555" max="1555" width="11.140625" style="9" bestFit="1" customWidth="1"/>
    <col min="1556" max="1794" width="9.140625" style="9"/>
    <col min="1795" max="1795" width="4" style="9" customWidth="1"/>
    <col min="1796" max="1796" width="30.7109375" style="9" customWidth="1"/>
    <col min="1797" max="1798" width="10" style="9" customWidth="1"/>
    <col min="1799" max="1799" width="9.85546875" style="9" customWidth="1"/>
    <col min="1800" max="1800" width="12.42578125" style="9" customWidth="1"/>
    <col min="1801" max="1806" width="12.7109375" style="9" customWidth="1"/>
    <col min="1807" max="1807" width="13" style="9" customWidth="1"/>
    <col min="1808" max="1809" width="12.7109375" style="9" customWidth="1"/>
    <col min="1810" max="1810" width="9.140625" style="9"/>
    <col min="1811" max="1811" width="11.140625" style="9" bestFit="1" customWidth="1"/>
    <col min="1812" max="2050" width="9.140625" style="9"/>
    <col min="2051" max="2051" width="4" style="9" customWidth="1"/>
    <col min="2052" max="2052" width="30.7109375" style="9" customWidth="1"/>
    <col min="2053" max="2054" width="10" style="9" customWidth="1"/>
    <col min="2055" max="2055" width="9.85546875" style="9" customWidth="1"/>
    <col min="2056" max="2056" width="12.42578125" style="9" customWidth="1"/>
    <col min="2057" max="2062" width="12.7109375" style="9" customWidth="1"/>
    <col min="2063" max="2063" width="13" style="9" customWidth="1"/>
    <col min="2064" max="2065" width="12.7109375" style="9" customWidth="1"/>
    <col min="2066" max="2066" width="9.140625" style="9"/>
    <col min="2067" max="2067" width="11.140625" style="9" bestFit="1" customWidth="1"/>
    <col min="2068" max="2306" width="9.140625" style="9"/>
    <col min="2307" max="2307" width="4" style="9" customWidth="1"/>
    <col min="2308" max="2308" width="30.7109375" style="9" customWidth="1"/>
    <col min="2309" max="2310" width="10" style="9" customWidth="1"/>
    <col min="2311" max="2311" width="9.85546875" style="9" customWidth="1"/>
    <col min="2312" max="2312" width="12.42578125" style="9" customWidth="1"/>
    <col min="2313" max="2318" width="12.7109375" style="9" customWidth="1"/>
    <col min="2319" max="2319" width="13" style="9" customWidth="1"/>
    <col min="2320" max="2321" width="12.7109375" style="9" customWidth="1"/>
    <col min="2322" max="2322" width="9.140625" style="9"/>
    <col min="2323" max="2323" width="11.140625" style="9" bestFit="1" customWidth="1"/>
    <col min="2324" max="2562" width="9.140625" style="9"/>
    <col min="2563" max="2563" width="4" style="9" customWidth="1"/>
    <col min="2564" max="2564" width="30.7109375" style="9" customWidth="1"/>
    <col min="2565" max="2566" width="10" style="9" customWidth="1"/>
    <col min="2567" max="2567" width="9.85546875" style="9" customWidth="1"/>
    <col min="2568" max="2568" width="12.42578125" style="9" customWidth="1"/>
    <col min="2569" max="2574" width="12.7109375" style="9" customWidth="1"/>
    <col min="2575" max="2575" width="13" style="9" customWidth="1"/>
    <col min="2576" max="2577" width="12.7109375" style="9" customWidth="1"/>
    <col min="2578" max="2578" width="9.140625" style="9"/>
    <col min="2579" max="2579" width="11.140625" style="9" bestFit="1" customWidth="1"/>
    <col min="2580" max="2818" width="9.140625" style="9"/>
    <col min="2819" max="2819" width="4" style="9" customWidth="1"/>
    <col min="2820" max="2820" width="30.7109375" style="9" customWidth="1"/>
    <col min="2821" max="2822" width="10" style="9" customWidth="1"/>
    <col min="2823" max="2823" width="9.85546875" style="9" customWidth="1"/>
    <col min="2824" max="2824" width="12.42578125" style="9" customWidth="1"/>
    <col min="2825" max="2830" width="12.7109375" style="9" customWidth="1"/>
    <col min="2831" max="2831" width="13" style="9" customWidth="1"/>
    <col min="2832" max="2833" width="12.7109375" style="9" customWidth="1"/>
    <col min="2834" max="2834" width="9.140625" style="9"/>
    <col min="2835" max="2835" width="11.140625" style="9" bestFit="1" customWidth="1"/>
    <col min="2836" max="3074" width="9.140625" style="9"/>
    <col min="3075" max="3075" width="4" style="9" customWidth="1"/>
    <col min="3076" max="3076" width="30.7109375" style="9" customWidth="1"/>
    <col min="3077" max="3078" width="10" style="9" customWidth="1"/>
    <col min="3079" max="3079" width="9.85546875" style="9" customWidth="1"/>
    <col min="3080" max="3080" width="12.42578125" style="9" customWidth="1"/>
    <col min="3081" max="3086" width="12.7109375" style="9" customWidth="1"/>
    <col min="3087" max="3087" width="13" style="9" customWidth="1"/>
    <col min="3088" max="3089" width="12.7109375" style="9" customWidth="1"/>
    <col min="3090" max="3090" width="9.140625" style="9"/>
    <col min="3091" max="3091" width="11.140625" style="9" bestFit="1" customWidth="1"/>
    <col min="3092" max="3330" width="9.140625" style="9"/>
    <col min="3331" max="3331" width="4" style="9" customWidth="1"/>
    <col min="3332" max="3332" width="30.7109375" style="9" customWidth="1"/>
    <col min="3333" max="3334" width="10" style="9" customWidth="1"/>
    <col min="3335" max="3335" width="9.85546875" style="9" customWidth="1"/>
    <col min="3336" max="3336" width="12.42578125" style="9" customWidth="1"/>
    <col min="3337" max="3342" width="12.7109375" style="9" customWidth="1"/>
    <col min="3343" max="3343" width="13" style="9" customWidth="1"/>
    <col min="3344" max="3345" width="12.7109375" style="9" customWidth="1"/>
    <col min="3346" max="3346" width="9.140625" style="9"/>
    <col min="3347" max="3347" width="11.140625" style="9" bestFit="1" customWidth="1"/>
    <col min="3348" max="3586" width="9.140625" style="9"/>
    <col min="3587" max="3587" width="4" style="9" customWidth="1"/>
    <col min="3588" max="3588" width="30.7109375" style="9" customWidth="1"/>
    <col min="3589" max="3590" width="10" style="9" customWidth="1"/>
    <col min="3591" max="3591" width="9.85546875" style="9" customWidth="1"/>
    <col min="3592" max="3592" width="12.42578125" style="9" customWidth="1"/>
    <col min="3593" max="3598" width="12.7109375" style="9" customWidth="1"/>
    <col min="3599" max="3599" width="13" style="9" customWidth="1"/>
    <col min="3600" max="3601" width="12.7109375" style="9" customWidth="1"/>
    <col min="3602" max="3602" width="9.140625" style="9"/>
    <col min="3603" max="3603" width="11.140625" style="9" bestFit="1" customWidth="1"/>
    <col min="3604" max="3842" width="9.140625" style="9"/>
    <col min="3843" max="3843" width="4" style="9" customWidth="1"/>
    <col min="3844" max="3844" width="30.7109375" style="9" customWidth="1"/>
    <col min="3845" max="3846" width="10" style="9" customWidth="1"/>
    <col min="3847" max="3847" width="9.85546875" style="9" customWidth="1"/>
    <col min="3848" max="3848" width="12.42578125" style="9" customWidth="1"/>
    <col min="3849" max="3854" width="12.7109375" style="9" customWidth="1"/>
    <col min="3855" max="3855" width="13" style="9" customWidth="1"/>
    <col min="3856" max="3857" width="12.7109375" style="9" customWidth="1"/>
    <col min="3858" max="3858" width="9.140625" style="9"/>
    <col min="3859" max="3859" width="11.140625" style="9" bestFit="1" customWidth="1"/>
    <col min="3860" max="4098" width="9.140625" style="9"/>
    <col min="4099" max="4099" width="4" style="9" customWidth="1"/>
    <col min="4100" max="4100" width="30.7109375" style="9" customWidth="1"/>
    <col min="4101" max="4102" width="10" style="9" customWidth="1"/>
    <col min="4103" max="4103" width="9.85546875" style="9" customWidth="1"/>
    <col min="4104" max="4104" width="12.42578125" style="9" customWidth="1"/>
    <col min="4105" max="4110" width="12.7109375" style="9" customWidth="1"/>
    <col min="4111" max="4111" width="13" style="9" customWidth="1"/>
    <col min="4112" max="4113" width="12.7109375" style="9" customWidth="1"/>
    <col min="4114" max="4114" width="9.140625" style="9"/>
    <col min="4115" max="4115" width="11.140625" style="9" bestFit="1" customWidth="1"/>
    <col min="4116" max="4354" width="9.140625" style="9"/>
    <col min="4355" max="4355" width="4" style="9" customWidth="1"/>
    <col min="4356" max="4356" width="30.7109375" style="9" customWidth="1"/>
    <col min="4357" max="4358" width="10" style="9" customWidth="1"/>
    <col min="4359" max="4359" width="9.85546875" style="9" customWidth="1"/>
    <col min="4360" max="4360" width="12.42578125" style="9" customWidth="1"/>
    <col min="4361" max="4366" width="12.7109375" style="9" customWidth="1"/>
    <col min="4367" max="4367" width="13" style="9" customWidth="1"/>
    <col min="4368" max="4369" width="12.7109375" style="9" customWidth="1"/>
    <col min="4370" max="4370" width="9.140625" style="9"/>
    <col min="4371" max="4371" width="11.140625" style="9" bestFit="1" customWidth="1"/>
    <col min="4372" max="4610" width="9.140625" style="9"/>
    <col min="4611" max="4611" width="4" style="9" customWidth="1"/>
    <col min="4612" max="4612" width="30.7109375" style="9" customWidth="1"/>
    <col min="4613" max="4614" width="10" style="9" customWidth="1"/>
    <col min="4615" max="4615" width="9.85546875" style="9" customWidth="1"/>
    <col min="4616" max="4616" width="12.42578125" style="9" customWidth="1"/>
    <col min="4617" max="4622" width="12.7109375" style="9" customWidth="1"/>
    <col min="4623" max="4623" width="13" style="9" customWidth="1"/>
    <col min="4624" max="4625" width="12.7109375" style="9" customWidth="1"/>
    <col min="4626" max="4626" width="9.140625" style="9"/>
    <col min="4627" max="4627" width="11.140625" style="9" bestFit="1" customWidth="1"/>
    <col min="4628" max="4866" width="9.140625" style="9"/>
    <col min="4867" max="4867" width="4" style="9" customWidth="1"/>
    <col min="4868" max="4868" width="30.7109375" style="9" customWidth="1"/>
    <col min="4869" max="4870" width="10" style="9" customWidth="1"/>
    <col min="4871" max="4871" width="9.85546875" style="9" customWidth="1"/>
    <col min="4872" max="4872" width="12.42578125" style="9" customWidth="1"/>
    <col min="4873" max="4878" width="12.7109375" style="9" customWidth="1"/>
    <col min="4879" max="4879" width="13" style="9" customWidth="1"/>
    <col min="4880" max="4881" width="12.7109375" style="9" customWidth="1"/>
    <col min="4882" max="4882" width="9.140625" style="9"/>
    <col min="4883" max="4883" width="11.140625" style="9" bestFit="1" customWidth="1"/>
    <col min="4884" max="5122" width="9.140625" style="9"/>
    <col min="5123" max="5123" width="4" style="9" customWidth="1"/>
    <col min="5124" max="5124" width="30.7109375" style="9" customWidth="1"/>
    <col min="5125" max="5126" width="10" style="9" customWidth="1"/>
    <col min="5127" max="5127" width="9.85546875" style="9" customWidth="1"/>
    <col min="5128" max="5128" width="12.42578125" style="9" customWidth="1"/>
    <col min="5129" max="5134" width="12.7109375" style="9" customWidth="1"/>
    <col min="5135" max="5135" width="13" style="9" customWidth="1"/>
    <col min="5136" max="5137" width="12.7109375" style="9" customWidth="1"/>
    <col min="5138" max="5138" width="9.140625" style="9"/>
    <col min="5139" max="5139" width="11.140625" style="9" bestFit="1" customWidth="1"/>
    <col min="5140" max="5378" width="9.140625" style="9"/>
    <col min="5379" max="5379" width="4" style="9" customWidth="1"/>
    <col min="5380" max="5380" width="30.7109375" style="9" customWidth="1"/>
    <col min="5381" max="5382" width="10" style="9" customWidth="1"/>
    <col min="5383" max="5383" width="9.85546875" style="9" customWidth="1"/>
    <col min="5384" max="5384" width="12.42578125" style="9" customWidth="1"/>
    <col min="5385" max="5390" width="12.7109375" style="9" customWidth="1"/>
    <col min="5391" max="5391" width="13" style="9" customWidth="1"/>
    <col min="5392" max="5393" width="12.7109375" style="9" customWidth="1"/>
    <col min="5394" max="5394" width="9.140625" style="9"/>
    <col min="5395" max="5395" width="11.140625" style="9" bestFit="1" customWidth="1"/>
    <col min="5396" max="5634" width="9.140625" style="9"/>
    <col min="5635" max="5635" width="4" style="9" customWidth="1"/>
    <col min="5636" max="5636" width="30.7109375" style="9" customWidth="1"/>
    <col min="5637" max="5638" width="10" style="9" customWidth="1"/>
    <col min="5639" max="5639" width="9.85546875" style="9" customWidth="1"/>
    <col min="5640" max="5640" width="12.42578125" style="9" customWidth="1"/>
    <col min="5641" max="5646" width="12.7109375" style="9" customWidth="1"/>
    <col min="5647" max="5647" width="13" style="9" customWidth="1"/>
    <col min="5648" max="5649" width="12.7109375" style="9" customWidth="1"/>
    <col min="5650" max="5650" width="9.140625" style="9"/>
    <col min="5651" max="5651" width="11.140625" style="9" bestFit="1" customWidth="1"/>
    <col min="5652" max="5890" width="9.140625" style="9"/>
    <col min="5891" max="5891" width="4" style="9" customWidth="1"/>
    <col min="5892" max="5892" width="30.7109375" style="9" customWidth="1"/>
    <col min="5893" max="5894" width="10" style="9" customWidth="1"/>
    <col min="5895" max="5895" width="9.85546875" style="9" customWidth="1"/>
    <col min="5896" max="5896" width="12.42578125" style="9" customWidth="1"/>
    <col min="5897" max="5902" width="12.7109375" style="9" customWidth="1"/>
    <col min="5903" max="5903" width="13" style="9" customWidth="1"/>
    <col min="5904" max="5905" width="12.7109375" style="9" customWidth="1"/>
    <col min="5906" max="5906" width="9.140625" style="9"/>
    <col min="5907" max="5907" width="11.140625" style="9" bestFit="1" customWidth="1"/>
    <col min="5908" max="6146" width="9.140625" style="9"/>
    <col min="6147" max="6147" width="4" style="9" customWidth="1"/>
    <col min="6148" max="6148" width="30.7109375" style="9" customWidth="1"/>
    <col min="6149" max="6150" width="10" style="9" customWidth="1"/>
    <col min="6151" max="6151" width="9.85546875" style="9" customWidth="1"/>
    <col min="6152" max="6152" width="12.42578125" style="9" customWidth="1"/>
    <col min="6153" max="6158" width="12.7109375" style="9" customWidth="1"/>
    <col min="6159" max="6159" width="13" style="9" customWidth="1"/>
    <col min="6160" max="6161" width="12.7109375" style="9" customWidth="1"/>
    <col min="6162" max="6162" width="9.140625" style="9"/>
    <col min="6163" max="6163" width="11.140625" style="9" bestFit="1" customWidth="1"/>
    <col min="6164" max="6402" width="9.140625" style="9"/>
    <col min="6403" max="6403" width="4" style="9" customWidth="1"/>
    <col min="6404" max="6404" width="30.7109375" style="9" customWidth="1"/>
    <col min="6405" max="6406" width="10" style="9" customWidth="1"/>
    <col min="6407" max="6407" width="9.85546875" style="9" customWidth="1"/>
    <col min="6408" max="6408" width="12.42578125" style="9" customWidth="1"/>
    <col min="6409" max="6414" width="12.7109375" style="9" customWidth="1"/>
    <col min="6415" max="6415" width="13" style="9" customWidth="1"/>
    <col min="6416" max="6417" width="12.7109375" style="9" customWidth="1"/>
    <col min="6418" max="6418" width="9.140625" style="9"/>
    <col min="6419" max="6419" width="11.140625" style="9" bestFit="1" customWidth="1"/>
    <col min="6420" max="6658" width="9.140625" style="9"/>
    <col min="6659" max="6659" width="4" style="9" customWidth="1"/>
    <col min="6660" max="6660" width="30.7109375" style="9" customWidth="1"/>
    <col min="6661" max="6662" width="10" style="9" customWidth="1"/>
    <col min="6663" max="6663" width="9.85546875" style="9" customWidth="1"/>
    <col min="6664" max="6664" width="12.42578125" style="9" customWidth="1"/>
    <col min="6665" max="6670" width="12.7109375" style="9" customWidth="1"/>
    <col min="6671" max="6671" width="13" style="9" customWidth="1"/>
    <col min="6672" max="6673" width="12.7109375" style="9" customWidth="1"/>
    <col min="6674" max="6674" width="9.140625" style="9"/>
    <col min="6675" max="6675" width="11.140625" style="9" bestFit="1" customWidth="1"/>
    <col min="6676" max="6914" width="9.140625" style="9"/>
    <col min="6915" max="6915" width="4" style="9" customWidth="1"/>
    <col min="6916" max="6916" width="30.7109375" style="9" customWidth="1"/>
    <col min="6917" max="6918" width="10" style="9" customWidth="1"/>
    <col min="6919" max="6919" width="9.85546875" style="9" customWidth="1"/>
    <col min="6920" max="6920" width="12.42578125" style="9" customWidth="1"/>
    <col min="6921" max="6926" width="12.7109375" style="9" customWidth="1"/>
    <col min="6927" max="6927" width="13" style="9" customWidth="1"/>
    <col min="6928" max="6929" width="12.7109375" style="9" customWidth="1"/>
    <col min="6930" max="6930" width="9.140625" style="9"/>
    <col min="6931" max="6931" width="11.140625" style="9" bestFit="1" customWidth="1"/>
    <col min="6932" max="7170" width="9.140625" style="9"/>
    <col min="7171" max="7171" width="4" style="9" customWidth="1"/>
    <col min="7172" max="7172" width="30.7109375" style="9" customWidth="1"/>
    <col min="7173" max="7174" width="10" style="9" customWidth="1"/>
    <col min="7175" max="7175" width="9.85546875" style="9" customWidth="1"/>
    <col min="7176" max="7176" width="12.42578125" style="9" customWidth="1"/>
    <col min="7177" max="7182" width="12.7109375" style="9" customWidth="1"/>
    <col min="7183" max="7183" width="13" style="9" customWidth="1"/>
    <col min="7184" max="7185" width="12.7109375" style="9" customWidth="1"/>
    <col min="7186" max="7186" width="9.140625" style="9"/>
    <col min="7187" max="7187" width="11.140625" style="9" bestFit="1" customWidth="1"/>
    <col min="7188" max="7426" width="9.140625" style="9"/>
    <col min="7427" max="7427" width="4" style="9" customWidth="1"/>
    <col min="7428" max="7428" width="30.7109375" style="9" customWidth="1"/>
    <col min="7429" max="7430" width="10" style="9" customWidth="1"/>
    <col min="7431" max="7431" width="9.85546875" style="9" customWidth="1"/>
    <col min="7432" max="7432" width="12.42578125" style="9" customWidth="1"/>
    <col min="7433" max="7438" width="12.7109375" style="9" customWidth="1"/>
    <col min="7439" max="7439" width="13" style="9" customWidth="1"/>
    <col min="7440" max="7441" width="12.7109375" style="9" customWidth="1"/>
    <col min="7442" max="7442" width="9.140625" style="9"/>
    <col min="7443" max="7443" width="11.140625" style="9" bestFit="1" customWidth="1"/>
    <col min="7444" max="7682" width="9.140625" style="9"/>
    <col min="7683" max="7683" width="4" style="9" customWidth="1"/>
    <col min="7684" max="7684" width="30.7109375" style="9" customWidth="1"/>
    <col min="7685" max="7686" width="10" style="9" customWidth="1"/>
    <col min="7687" max="7687" width="9.85546875" style="9" customWidth="1"/>
    <col min="7688" max="7688" width="12.42578125" style="9" customWidth="1"/>
    <col min="7689" max="7694" width="12.7109375" style="9" customWidth="1"/>
    <col min="7695" max="7695" width="13" style="9" customWidth="1"/>
    <col min="7696" max="7697" width="12.7109375" style="9" customWidth="1"/>
    <col min="7698" max="7698" width="9.140625" style="9"/>
    <col min="7699" max="7699" width="11.140625" style="9" bestFit="1" customWidth="1"/>
    <col min="7700" max="7938" width="9.140625" style="9"/>
    <col min="7939" max="7939" width="4" style="9" customWidth="1"/>
    <col min="7940" max="7940" width="30.7109375" style="9" customWidth="1"/>
    <col min="7941" max="7942" width="10" style="9" customWidth="1"/>
    <col min="7943" max="7943" width="9.85546875" style="9" customWidth="1"/>
    <col min="7944" max="7944" width="12.42578125" style="9" customWidth="1"/>
    <col min="7945" max="7950" width="12.7109375" style="9" customWidth="1"/>
    <col min="7951" max="7951" width="13" style="9" customWidth="1"/>
    <col min="7952" max="7953" width="12.7109375" style="9" customWidth="1"/>
    <col min="7954" max="7954" width="9.140625" style="9"/>
    <col min="7955" max="7955" width="11.140625" style="9" bestFit="1" customWidth="1"/>
    <col min="7956" max="8194" width="9.140625" style="9"/>
    <col min="8195" max="8195" width="4" style="9" customWidth="1"/>
    <col min="8196" max="8196" width="30.7109375" style="9" customWidth="1"/>
    <col min="8197" max="8198" width="10" style="9" customWidth="1"/>
    <col min="8199" max="8199" width="9.85546875" style="9" customWidth="1"/>
    <col min="8200" max="8200" width="12.42578125" style="9" customWidth="1"/>
    <col min="8201" max="8206" width="12.7109375" style="9" customWidth="1"/>
    <col min="8207" max="8207" width="13" style="9" customWidth="1"/>
    <col min="8208" max="8209" width="12.7109375" style="9" customWidth="1"/>
    <col min="8210" max="8210" width="9.140625" style="9"/>
    <col min="8211" max="8211" width="11.140625" style="9" bestFit="1" customWidth="1"/>
    <col min="8212" max="8450" width="9.140625" style="9"/>
    <col min="8451" max="8451" width="4" style="9" customWidth="1"/>
    <col min="8452" max="8452" width="30.7109375" style="9" customWidth="1"/>
    <col min="8453" max="8454" width="10" style="9" customWidth="1"/>
    <col min="8455" max="8455" width="9.85546875" style="9" customWidth="1"/>
    <col min="8456" max="8456" width="12.42578125" style="9" customWidth="1"/>
    <col min="8457" max="8462" width="12.7109375" style="9" customWidth="1"/>
    <col min="8463" max="8463" width="13" style="9" customWidth="1"/>
    <col min="8464" max="8465" width="12.7109375" style="9" customWidth="1"/>
    <col min="8466" max="8466" width="9.140625" style="9"/>
    <col min="8467" max="8467" width="11.140625" style="9" bestFit="1" customWidth="1"/>
    <col min="8468" max="8706" width="9.140625" style="9"/>
    <col min="8707" max="8707" width="4" style="9" customWidth="1"/>
    <col min="8708" max="8708" width="30.7109375" style="9" customWidth="1"/>
    <col min="8709" max="8710" width="10" style="9" customWidth="1"/>
    <col min="8711" max="8711" width="9.85546875" style="9" customWidth="1"/>
    <col min="8712" max="8712" width="12.42578125" style="9" customWidth="1"/>
    <col min="8713" max="8718" width="12.7109375" style="9" customWidth="1"/>
    <col min="8719" max="8719" width="13" style="9" customWidth="1"/>
    <col min="8720" max="8721" width="12.7109375" style="9" customWidth="1"/>
    <col min="8722" max="8722" width="9.140625" style="9"/>
    <col min="8723" max="8723" width="11.140625" style="9" bestFit="1" customWidth="1"/>
    <col min="8724" max="8962" width="9.140625" style="9"/>
    <col min="8963" max="8963" width="4" style="9" customWidth="1"/>
    <col min="8964" max="8964" width="30.7109375" style="9" customWidth="1"/>
    <col min="8965" max="8966" width="10" style="9" customWidth="1"/>
    <col min="8967" max="8967" width="9.85546875" style="9" customWidth="1"/>
    <col min="8968" max="8968" width="12.42578125" style="9" customWidth="1"/>
    <col min="8969" max="8974" width="12.7109375" style="9" customWidth="1"/>
    <col min="8975" max="8975" width="13" style="9" customWidth="1"/>
    <col min="8976" max="8977" width="12.7109375" style="9" customWidth="1"/>
    <col min="8978" max="8978" width="9.140625" style="9"/>
    <col min="8979" max="8979" width="11.140625" style="9" bestFit="1" customWidth="1"/>
    <col min="8980" max="9218" width="9.140625" style="9"/>
    <col min="9219" max="9219" width="4" style="9" customWidth="1"/>
    <col min="9220" max="9220" width="30.7109375" style="9" customWidth="1"/>
    <col min="9221" max="9222" width="10" style="9" customWidth="1"/>
    <col min="9223" max="9223" width="9.85546875" style="9" customWidth="1"/>
    <col min="9224" max="9224" width="12.42578125" style="9" customWidth="1"/>
    <col min="9225" max="9230" width="12.7109375" style="9" customWidth="1"/>
    <col min="9231" max="9231" width="13" style="9" customWidth="1"/>
    <col min="9232" max="9233" width="12.7109375" style="9" customWidth="1"/>
    <col min="9234" max="9234" width="9.140625" style="9"/>
    <col min="9235" max="9235" width="11.140625" style="9" bestFit="1" customWidth="1"/>
    <col min="9236" max="9474" width="9.140625" style="9"/>
    <col min="9475" max="9475" width="4" style="9" customWidth="1"/>
    <col min="9476" max="9476" width="30.7109375" style="9" customWidth="1"/>
    <col min="9477" max="9478" width="10" style="9" customWidth="1"/>
    <col min="9479" max="9479" width="9.85546875" style="9" customWidth="1"/>
    <col min="9480" max="9480" width="12.42578125" style="9" customWidth="1"/>
    <col min="9481" max="9486" width="12.7109375" style="9" customWidth="1"/>
    <col min="9487" max="9487" width="13" style="9" customWidth="1"/>
    <col min="9488" max="9489" width="12.7109375" style="9" customWidth="1"/>
    <col min="9490" max="9490" width="9.140625" style="9"/>
    <col min="9491" max="9491" width="11.140625" style="9" bestFit="1" customWidth="1"/>
    <col min="9492" max="9730" width="9.140625" style="9"/>
    <col min="9731" max="9731" width="4" style="9" customWidth="1"/>
    <col min="9732" max="9732" width="30.7109375" style="9" customWidth="1"/>
    <col min="9733" max="9734" width="10" style="9" customWidth="1"/>
    <col min="9735" max="9735" width="9.85546875" style="9" customWidth="1"/>
    <col min="9736" max="9736" width="12.42578125" style="9" customWidth="1"/>
    <col min="9737" max="9742" width="12.7109375" style="9" customWidth="1"/>
    <col min="9743" max="9743" width="13" style="9" customWidth="1"/>
    <col min="9744" max="9745" width="12.7109375" style="9" customWidth="1"/>
    <col min="9746" max="9746" width="9.140625" style="9"/>
    <col min="9747" max="9747" width="11.140625" style="9" bestFit="1" customWidth="1"/>
    <col min="9748" max="9986" width="9.140625" style="9"/>
    <col min="9987" max="9987" width="4" style="9" customWidth="1"/>
    <col min="9988" max="9988" width="30.7109375" style="9" customWidth="1"/>
    <col min="9989" max="9990" width="10" style="9" customWidth="1"/>
    <col min="9991" max="9991" width="9.85546875" style="9" customWidth="1"/>
    <col min="9992" max="9992" width="12.42578125" style="9" customWidth="1"/>
    <col min="9993" max="9998" width="12.7109375" style="9" customWidth="1"/>
    <col min="9999" max="9999" width="13" style="9" customWidth="1"/>
    <col min="10000" max="10001" width="12.7109375" style="9" customWidth="1"/>
    <col min="10002" max="10002" width="9.140625" style="9"/>
    <col min="10003" max="10003" width="11.140625" style="9" bestFit="1" customWidth="1"/>
    <col min="10004" max="10242" width="9.140625" style="9"/>
    <col min="10243" max="10243" width="4" style="9" customWidth="1"/>
    <col min="10244" max="10244" width="30.7109375" style="9" customWidth="1"/>
    <col min="10245" max="10246" width="10" style="9" customWidth="1"/>
    <col min="10247" max="10247" width="9.85546875" style="9" customWidth="1"/>
    <col min="10248" max="10248" width="12.42578125" style="9" customWidth="1"/>
    <col min="10249" max="10254" width="12.7109375" style="9" customWidth="1"/>
    <col min="10255" max="10255" width="13" style="9" customWidth="1"/>
    <col min="10256" max="10257" width="12.7109375" style="9" customWidth="1"/>
    <col min="10258" max="10258" width="9.140625" style="9"/>
    <col min="10259" max="10259" width="11.140625" style="9" bestFit="1" customWidth="1"/>
    <col min="10260" max="10498" width="9.140625" style="9"/>
    <col min="10499" max="10499" width="4" style="9" customWidth="1"/>
    <col min="10500" max="10500" width="30.7109375" style="9" customWidth="1"/>
    <col min="10501" max="10502" width="10" style="9" customWidth="1"/>
    <col min="10503" max="10503" width="9.85546875" style="9" customWidth="1"/>
    <col min="10504" max="10504" width="12.42578125" style="9" customWidth="1"/>
    <col min="10505" max="10510" width="12.7109375" style="9" customWidth="1"/>
    <col min="10511" max="10511" width="13" style="9" customWidth="1"/>
    <col min="10512" max="10513" width="12.7109375" style="9" customWidth="1"/>
    <col min="10514" max="10514" width="9.140625" style="9"/>
    <col min="10515" max="10515" width="11.140625" style="9" bestFit="1" customWidth="1"/>
    <col min="10516" max="10754" width="9.140625" style="9"/>
    <col min="10755" max="10755" width="4" style="9" customWidth="1"/>
    <col min="10756" max="10756" width="30.7109375" style="9" customWidth="1"/>
    <col min="10757" max="10758" width="10" style="9" customWidth="1"/>
    <col min="10759" max="10759" width="9.85546875" style="9" customWidth="1"/>
    <col min="10760" max="10760" width="12.42578125" style="9" customWidth="1"/>
    <col min="10761" max="10766" width="12.7109375" style="9" customWidth="1"/>
    <col min="10767" max="10767" width="13" style="9" customWidth="1"/>
    <col min="10768" max="10769" width="12.7109375" style="9" customWidth="1"/>
    <col min="10770" max="10770" width="9.140625" style="9"/>
    <col min="10771" max="10771" width="11.140625" style="9" bestFit="1" customWidth="1"/>
    <col min="10772" max="11010" width="9.140625" style="9"/>
    <col min="11011" max="11011" width="4" style="9" customWidth="1"/>
    <col min="11012" max="11012" width="30.7109375" style="9" customWidth="1"/>
    <col min="11013" max="11014" width="10" style="9" customWidth="1"/>
    <col min="11015" max="11015" width="9.85546875" style="9" customWidth="1"/>
    <col min="11016" max="11016" width="12.42578125" style="9" customWidth="1"/>
    <col min="11017" max="11022" width="12.7109375" style="9" customWidth="1"/>
    <col min="11023" max="11023" width="13" style="9" customWidth="1"/>
    <col min="11024" max="11025" width="12.7109375" style="9" customWidth="1"/>
    <col min="11026" max="11026" width="9.140625" style="9"/>
    <col min="11027" max="11027" width="11.140625" style="9" bestFit="1" customWidth="1"/>
    <col min="11028" max="11266" width="9.140625" style="9"/>
    <col min="11267" max="11267" width="4" style="9" customWidth="1"/>
    <col min="11268" max="11268" width="30.7109375" style="9" customWidth="1"/>
    <col min="11269" max="11270" width="10" style="9" customWidth="1"/>
    <col min="11271" max="11271" width="9.85546875" style="9" customWidth="1"/>
    <col min="11272" max="11272" width="12.42578125" style="9" customWidth="1"/>
    <col min="11273" max="11278" width="12.7109375" style="9" customWidth="1"/>
    <col min="11279" max="11279" width="13" style="9" customWidth="1"/>
    <col min="11280" max="11281" width="12.7109375" style="9" customWidth="1"/>
    <col min="11282" max="11282" width="9.140625" style="9"/>
    <col min="11283" max="11283" width="11.140625" style="9" bestFit="1" customWidth="1"/>
    <col min="11284" max="11522" width="9.140625" style="9"/>
    <col min="11523" max="11523" width="4" style="9" customWidth="1"/>
    <col min="11524" max="11524" width="30.7109375" style="9" customWidth="1"/>
    <col min="11525" max="11526" width="10" style="9" customWidth="1"/>
    <col min="11527" max="11527" width="9.85546875" style="9" customWidth="1"/>
    <col min="11528" max="11528" width="12.42578125" style="9" customWidth="1"/>
    <col min="11529" max="11534" width="12.7109375" style="9" customWidth="1"/>
    <col min="11535" max="11535" width="13" style="9" customWidth="1"/>
    <col min="11536" max="11537" width="12.7109375" style="9" customWidth="1"/>
    <col min="11538" max="11538" width="9.140625" style="9"/>
    <col min="11539" max="11539" width="11.140625" style="9" bestFit="1" customWidth="1"/>
    <col min="11540" max="11778" width="9.140625" style="9"/>
    <col min="11779" max="11779" width="4" style="9" customWidth="1"/>
    <col min="11780" max="11780" width="30.7109375" style="9" customWidth="1"/>
    <col min="11781" max="11782" width="10" style="9" customWidth="1"/>
    <col min="11783" max="11783" width="9.85546875" style="9" customWidth="1"/>
    <col min="11784" max="11784" width="12.42578125" style="9" customWidth="1"/>
    <col min="11785" max="11790" width="12.7109375" style="9" customWidth="1"/>
    <col min="11791" max="11791" width="13" style="9" customWidth="1"/>
    <col min="11792" max="11793" width="12.7109375" style="9" customWidth="1"/>
    <col min="11794" max="11794" width="9.140625" style="9"/>
    <col min="11795" max="11795" width="11.140625" style="9" bestFit="1" customWidth="1"/>
    <col min="11796" max="12034" width="9.140625" style="9"/>
    <col min="12035" max="12035" width="4" style="9" customWidth="1"/>
    <col min="12036" max="12036" width="30.7109375" style="9" customWidth="1"/>
    <col min="12037" max="12038" width="10" style="9" customWidth="1"/>
    <col min="12039" max="12039" width="9.85546875" style="9" customWidth="1"/>
    <col min="12040" max="12040" width="12.42578125" style="9" customWidth="1"/>
    <col min="12041" max="12046" width="12.7109375" style="9" customWidth="1"/>
    <col min="12047" max="12047" width="13" style="9" customWidth="1"/>
    <col min="12048" max="12049" width="12.7109375" style="9" customWidth="1"/>
    <col min="12050" max="12050" width="9.140625" style="9"/>
    <col min="12051" max="12051" width="11.140625" style="9" bestFit="1" customWidth="1"/>
    <col min="12052" max="12290" width="9.140625" style="9"/>
    <col min="12291" max="12291" width="4" style="9" customWidth="1"/>
    <col min="12292" max="12292" width="30.7109375" style="9" customWidth="1"/>
    <col min="12293" max="12294" width="10" style="9" customWidth="1"/>
    <col min="12295" max="12295" width="9.85546875" style="9" customWidth="1"/>
    <col min="12296" max="12296" width="12.42578125" style="9" customWidth="1"/>
    <col min="12297" max="12302" width="12.7109375" style="9" customWidth="1"/>
    <col min="12303" max="12303" width="13" style="9" customWidth="1"/>
    <col min="12304" max="12305" width="12.7109375" style="9" customWidth="1"/>
    <col min="12306" max="12306" width="9.140625" style="9"/>
    <col min="12307" max="12307" width="11.140625" style="9" bestFit="1" customWidth="1"/>
    <col min="12308" max="12546" width="9.140625" style="9"/>
    <col min="12547" max="12547" width="4" style="9" customWidth="1"/>
    <col min="12548" max="12548" width="30.7109375" style="9" customWidth="1"/>
    <col min="12549" max="12550" width="10" style="9" customWidth="1"/>
    <col min="12551" max="12551" width="9.85546875" style="9" customWidth="1"/>
    <col min="12552" max="12552" width="12.42578125" style="9" customWidth="1"/>
    <col min="12553" max="12558" width="12.7109375" style="9" customWidth="1"/>
    <col min="12559" max="12559" width="13" style="9" customWidth="1"/>
    <col min="12560" max="12561" width="12.7109375" style="9" customWidth="1"/>
    <col min="12562" max="12562" width="9.140625" style="9"/>
    <col min="12563" max="12563" width="11.140625" style="9" bestFit="1" customWidth="1"/>
    <col min="12564" max="12802" width="9.140625" style="9"/>
    <col min="12803" max="12803" width="4" style="9" customWidth="1"/>
    <col min="12804" max="12804" width="30.7109375" style="9" customWidth="1"/>
    <col min="12805" max="12806" width="10" style="9" customWidth="1"/>
    <col min="12807" max="12807" width="9.85546875" style="9" customWidth="1"/>
    <col min="12808" max="12808" width="12.42578125" style="9" customWidth="1"/>
    <col min="12809" max="12814" width="12.7109375" style="9" customWidth="1"/>
    <col min="12815" max="12815" width="13" style="9" customWidth="1"/>
    <col min="12816" max="12817" width="12.7109375" style="9" customWidth="1"/>
    <col min="12818" max="12818" width="9.140625" style="9"/>
    <col min="12819" max="12819" width="11.140625" style="9" bestFit="1" customWidth="1"/>
    <col min="12820" max="13058" width="9.140625" style="9"/>
    <col min="13059" max="13059" width="4" style="9" customWidth="1"/>
    <col min="13060" max="13060" width="30.7109375" style="9" customWidth="1"/>
    <col min="13061" max="13062" width="10" style="9" customWidth="1"/>
    <col min="13063" max="13063" width="9.85546875" style="9" customWidth="1"/>
    <col min="13064" max="13064" width="12.42578125" style="9" customWidth="1"/>
    <col min="13065" max="13070" width="12.7109375" style="9" customWidth="1"/>
    <col min="13071" max="13071" width="13" style="9" customWidth="1"/>
    <col min="13072" max="13073" width="12.7109375" style="9" customWidth="1"/>
    <col min="13074" max="13074" width="9.140625" style="9"/>
    <col min="13075" max="13075" width="11.140625" style="9" bestFit="1" customWidth="1"/>
    <col min="13076" max="13314" width="9.140625" style="9"/>
    <col min="13315" max="13315" width="4" style="9" customWidth="1"/>
    <col min="13316" max="13316" width="30.7109375" style="9" customWidth="1"/>
    <col min="13317" max="13318" width="10" style="9" customWidth="1"/>
    <col min="13319" max="13319" width="9.85546875" style="9" customWidth="1"/>
    <col min="13320" max="13320" width="12.42578125" style="9" customWidth="1"/>
    <col min="13321" max="13326" width="12.7109375" style="9" customWidth="1"/>
    <col min="13327" max="13327" width="13" style="9" customWidth="1"/>
    <col min="13328" max="13329" width="12.7109375" style="9" customWidth="1"/>
    <col min="13330" max="13330" width="9.140625" style="9"/>
    <col min="13331" max="13331" width="11.140625" style="9" bestFit="1" customWidth="1"/>
    <col min="13332" max="13570" width="9.140625" style="9"/>
    <col min="13571" max="13571" width="4" style="9" customWidth="1"/>
    <col min="13572" max="13572" width="30.7109375" style="9" customWidth="1"/>
    <col min="13573" max="13574" width="10" style="9" customWidth="1"/>
    <col min="13575" max="13575" width="9.85546875" style="9" customWidth="1"/>
    <col min="13576" max="13576" width="12.42578125" style="9" customWidth="1"/>
    <col min="13577" max="13582" width="12.7109375" style="9" customWidth="1"/>
    <col min="13583" max="13583" width="13" style="9" customWidth="1"/>
    <col min="13584" max="13585" width="12.7109375" style="9" customWidth="1"/>
    <col min="13586" max="13586" width="9.140625" style="9"/>
    <col min="13587" max="13587" width="11.140625" style="9" bestFit="1" customWidth="1"/>
    <col min="13588" max="13826" width="9.140625" style="9"/>
    <col min="13827" max="13827" width="4" style="9" customWidth="1"/>
    <col min="13828" max="13828" width="30.7109375" style="9" customWidth="1"/>
    <col min="13829" max="13830" width="10" style="9" customWidth="1"/>
    <col min="13831" max="13831" width="9.85546875" style="9" customWidth="1"/>
    <col min="13832" max="13832" width="12.42578125" style="9" customWidth="1"/>
    <col min="13833" max="13838" width="12.7109375" style="9" customWidth="1"/>
    <col min="13839" max="13839" width="13" style="9" customWidth="1"/>
    <col min="13840" max="13841" width="12.7109375" style="9" customWidth="1"/>
    <col min="13842" max="13842" width="9.140625" style="9"/>
    <col min="13843" max="13843" width="11.140625" style="9" bestFit="1" customWidth="1"/>
    <col min="13844" max="14082" width="9.140625" style="9"/>
    <col min="14083" max="14083" width="4" style="9" customWidth="1"/>
    <col min="14084" max="14084" width="30.7109375" style="9" customWidth="1"/>
    <col min="14085" max="14086" width="10" style="9" customWidth="1"/>
    <col min="14087" max="14087" width="9.85546875" style="9" customWidth="1"/>
    <col min="14088" max="14088" width="12.42578125" style="9" customWidth="1"/>
    <col min="14089" max="14094" width="12.7109375" style="9" customWidth="1"/>
    <col min="14095" max="14095" width="13" style="9" customWidth="1"/>
    <col min="14096" max="14097" width="12.7109375" style="9" customWidth="1"/>
    <col min="14098" max="14098" width="9.140625" style="9"/>
    <col min="14099" max="14099" width="11.140625" style="9" bestFit="1" customWidth="1"/>
    <col min="14100" max="14338" width="9.140625" style="9"/>
    <col min="14339" max="14339" width="4" style="9" customWidth="1"/>
    <col min="14340" max="14340" width="30.7109375" style="9" customWidth="1"/>
    <col min="14341" max="14342" width="10" style="9" customWidth="1"/>
    <col min="14343" max="14343" width="9.85546875" style="9" customWidth="1"/>
    <col min="14344" max="14344" width="12.42578125" style="9" customWidth="1"/>
    <col min="14345" max="14350" width="12.7109375" style="9" customWidth="1"/>
    <col min="14351" max="14351" width="13" style="9" customWidth="1"/>
    <col min="14352" max="14353" width="12.7109375" style="9" customWidth="1"/>
    <col min="14354" max="14354" width="9.140625" style="9"/>
    <col min="14355" max="14355" width="11.140625" style="9" bestFit="1" customWidth="1"/>
    <col min="14356" max="14594" width="9.140625" style="9"/>
    <col min="14595" max="14595" width="4" style="9" customWidth="1"/>
    <col min="14596" max="14596" width="30.7109375" style="9" customWidth="1"/>
    <col min="14597" max="14598" width="10" style="9" customWidth="1"/>
    <col min="14599" max="14599" width="9.85546875" style="9" customWidth="1"/>
    <col min="14600" max="14600" width="12.42578125" style="9" customWidth="1"/>
    <col min="14601" max="14606" width="12.7109375" style="9" customWidth="1"/>
    <col min="14607" max="14607" width="13" style="9" customWidth="1"/>
    <col min="14608" max="14609" width="12.7109375" style="9" customWidth="1"/>
    <col min="14610" max="14610" width="9.140625" style="9"/>
    <col min="14611" max="14611" width="11.140625" style="9" bestFit="1" customWidth="1"/>
    <col min="14612" max="14850" width="9.140625" style="9"/>
    <col min="14851" max="14851" width="4" style="9" customWidth="1"/>
    <col min="14852" max="14852" width="30.7109375" style="9" customWidth="1"/>
    <col min="14853" max="14854" width="10" style="9" customWidth="1"/>
    <col min="14855" max="14855" width="9.85546875" style="9" customWidth="1"/>
    <col min="14856" max="14856" width="12.42578125" style="9" customWidth="1"/>
    <col min="14857" max="14862" width="12.7109375" style="9" customWidth="1"/>
    <col min="14863" max="14863" width="13" style="9" customWidth="1"/>
    <col min="14864" max="14865" width="12.7109375" style="9" customWidth="1"/>
    <col min="14866" max="14866" width="9.140625" style="9"/>
    <col min="14867" max="14867" width="11.140625" style="9" bestFit="1" customWidth="1"/>
    <col min="14868" max="15106" width="9.140625" style="9"/>
    <col min="15107" max="15107" width="4" style="9" customWidth="1"/>
    <col min="15108" max="15108" width="30.7109375" style="9" customWidth="1"/>
    <col min="15109" max="15110" width="10" style="9" customWidth="1"/>
    <col min="15111" max="15111" width="9.85546875" style="9" customWidth="1"/>
    <col min="15112" max="15112" width="12.42578125" style="9" customWidth="1"/>
    <col min="15113" max="15118" width="12.7109375" style="9" customWidth="1"/>
    <col min="15119" max="15119" width="13" style="9" customWidth="1"/>
    <col min="15120" max="15121" width="12.7109375" style="9" customWidth="1"/>
    <col min="15122" max="15122" width="9.140625" style="9"/>
    <col min="15123" max="15123" width="11.140625" style="9" bestFit="1" customWidth="1"/>
    <col min="15124" max="15362" width="9.140625" style="9"/>
    <col min="15363" max="15363" width="4" style="9" customWidth="1"/>
    <col min="15364" max="15364" width="30.7109375" style="9" customWidth="1"/>
    <col min="15365" max="15366" width="10" style="9" customWidth="1"/>
    <col min="15367" max="15367" width="9.85546875" style="9" customWidth="1"/>
    <col min="15368" max="15368" width="12.42578125" style="9" customWidth="1"/>
    <col min="15369" max="15374" width="12.7109375" style="9" customWidth="1"/>
    <col min="15375" max="15375" width="13" style="9" customWidth="1"/>
    <col min="15376" max="15377" width="12.7109375" style="9" customWidth="1"/>
    <col min="15378" max="15378" width="9.140625" style="9"/>
    <col min="15379" max="15379" width="11.140625" style="9" bestFit="1" customWidth="1"/>
    <col min="15380" max="15618" width="9.140625" style="9"/>
    <col min="15619" max="15619" width="4" style="9" customWidth="1"/>
    <col min="15620" max="15620" width="30.7109375" style="9" customWidth="1"/>
    <col min="15621" max="15622" width="10" style="9" customWidth="1"/>
    <col min="15623" max="15623" width="9.85546875" style="9" customWidth="1"/>
    <col min="15624" max="15624" width="12.42578125" style="9" customWidth="1"/>
    <col min="15625" max="15630" width="12.7109375" style="9" customWidth="1"/>
    <col min="15631" max="15631" width="13" style="9" customWidth="1"/>
    <col min="15632" max="15633" width="12.7109375" style="9" customWidth="1"/>
    <col min="15634" max="15634" width="9.140625" style="9"/>
    <col min="15635" max="15635" width="11.140625" style="9" bestFit="1" customWidth="1"/>
    <col min="15636" max="15874" width="9.140625" style="9"/>
    <col min="15875" max="15875" width="4" style="9" customWidth="1"/>
    <col min="15876" max="15876" width="30.7109375" style="9" customWidth="1"/>
    <col min="15877" max="15878" width="10" style="9" customWidth="1"/>
    <col min="15879" max="15879" width="9.85546875" style="9" customWidth="1"/>
    <col min="15880" max="15880" width="12.42578125" style="9" customWidth="1"/>
    <col min="15881" max="15886" width="12.7109375" style="9" customWidth="1"/>
    <col min="15887" max="15887" width="13" style="9" customWidth="1"/>
    <col min="15888" max="15889" width="12.7109375" style="9" customWidth="1"/>
    <col min="15890" max="15890" width="9.140625" style="9"/>
    <col min="15891" max="15891" width="11.140625" style="9" bestFit="1" customWidth="1"/>
    <col min="15892" max="16130" width="9.140625" style="9"/>
    <col min="16131" max="16131" width="4" style="9" customWidth="1"/>
    <col min="16132" max="16132" width="30.7109375" style="9" customWidth="1"/>
    <col min="16133" max="16134" width="10" style="9" customWidth="1"/>
    <col min="16135" max="16135" width="9.85546875" style="9" customWidth="1"/>
    <col min="16136" max="16136" width="12.42578125" style="9" customWidth="1"/>
    <col min="16137" max="16142" width="12.7109375" style="9" customWidth="1"/>
    <col min="16143" max="16143" width="13" style="9" customWidth="1"/>
    <col min="16144" max="16145" width="12.7109375" style="9" customWidth="1"/>
    <col min="16146" max="16146" width="9.140625" style="9"/>
    <col min="16147" max="16147" width="11.140625" style="9" bestFit="1" customWidth="1"/>
    <col min="16148" max="16384" width="9.140625" style="9"/>
  </cols>
  <sheetData>
    <row r="1" spans="1:23" s="7" customFormat="1" ht="13.5" thickBot="1">
      <c r="A1" s="7" t="s">
        <v>15</v>
      </c>
      <c r="B1" s="8"/>
      <c r="E1" s="262"/>
      <c r="G1" s="262"/>
    </row>
    <row r="2" spans="1:23" ht="23.25" thickBot="1">
      <c r="A2" s="1875" t="s">
        <v>16</v>
      </c>
      <c r="B2" s="1876"/>
      <c r="C2" s="1876"/>
      <c r="D2" s="1876"/>
      <c r="E2" s="1876"/>
      <c r="F2" s="1876"/>
      <c r="G2" s="1876"/>
      <c r="H2" s="1876"/>
      <c r="I2" s="1876"/>
      <c r="J2" s="1876"/>
      <c r="K2" s="1876"/>
      <c r="L2" s="1876"/>
      <c r="M2" s="1876"/>
      <c r="N2" s="1876"/>
      <c r="O2" s="1876"/>
      <c r="P2" s="1876"/>
      <c r="Q2" s="1944"/>
    </row>
    <row r="3" spans="1:23" ht="16.5" thickBot="1">
      <c r="A3" s="1877" t="s">
        <v>17</v>
      </c>
      <c r="B3" s="1878"/>
      <c r="C3" s="1878"/>
      <c r="D3" s="1878"/>
      <c r="E3" s="1878"/>
      <c r="F3" s="1878"/>
      <c r="G3" s="1878"/>
      <c r="H3" s="1878"/>
      <c r="I3" s="1878"/>
      <c r="J3" s="1878"/>
      <c r="K3" s="1878"/>
      <c r="L3" s="1878"/>
      <c r="M3" s="1878"/>
      <c r="N3" s="1878"/>
      <c r="O3" s="1878"/>
      <c r="P3" s="1878"/>
      <c r="Q3" s="1945"/>
    </row>
    <row r="4" spans="1:23" ht="25.5">
      <c r="A4" s="10" t="s">
        <v>18</v>
      </c>
      <c r="B4" s="11"/>
      <c r="C4" s="12" t="s">
        <v>19</v>
      </c>
      <c r="D4" s="12"/>
      <c r="E4" s="1972"/>
      <c r="F4" s="13"/>
      <c r="G4" s="1972"/>
      <c r="H4" s="1881"/>
      <c r="I4" s="1882"/>
      <c r="J4" s="14" t="s">
        <v>21</v>
      </c>
      <c r="K4" s="15"/>
      <c r="L4" s="16" t="s">
        <v>22</v>
      </c>
      <c r="M4" s="17" t="s">
        <v>23</v>
      </c>
      <c r="N4" s="18" t="s">
        <v>24</v>
      </c>
      <c r="O4" s="215">
        <v>42189</v>
      </c>
      <c r="P4" s="17"/>
      <c r="Q4" s="17"/>
    </row>
    <row r="5" spans="1:23" ht="26.25" thickBot="1">
      <c r="A5" s="19" t="s">
        <v>26</v>
      </c>
      <c r="B5" s="20"/>
      <c r="C5" s="21" t="s">
        <v>27</v>
      </c>
      <c r="D5" s="21"/>
      <c r="E5" s="1973"/>
      <c r="F5" s="22"/>
      <c r="G5" s="1973"/>
      <c r="H5" s="1883"/>
      <c r="I5" s="1884"/>
      <c r="J5" s="23" t="s">
        <v>28</v>
      </c>
      <c r="K5" s="15"/>
      <c r="L5" s="24" t="s">
        <v>29</v>
      </c>
      <c r="M5" s="25"/>
      <c r="N5" s="24" t="s">
        <v>30</v>
      </c>
      <c r="O5" s="25"/>
      <c r="P5" s="25" t="s">
        <v>18</v>
      </c>
      <c r="Q5" s="25" t="s">
        <v>31</v>
      </c>
    </row>
    <row r="6" spans="1:23" ht="13.5" thickBot="1">
      <c r="A6" s="26"/>
      <c r="B6" s="27"/>
      <c r="E6" s="263"/>
      <c r="F6" s="28"/>
      <c r="G6" s="263"/>
      <c r="H6" s="30">
        <f>2600000/3112970</f>
        <v>0.8352152446056339</v>
      </c>
      <c r="I6" s="28"/>
      <c r="J6" s="31"/>
      <c r="K6" s="28"/>
      <c r="L6" s="264">
        <f>1-(2065113.2/2154905)</f>
        <v>4.166856543559927E-2</v>
      </c>
      <c r="M6" s="28" t="s">
        <v>176</v>
      </c>
      <c r="N6" s="28"/>
      <c r="O6" s="28"/>
      <c r="P6" s="28"/>
      <c r="Q6" s="28"/>
    </row>
    <row r="7" spans="1:23" ht="31.5" customHeight="1" thickBot="1">
      <c r="A7" s="1946" t="s">
        <v>32</v>
      </c>
      <c r="B7" s="1888" t="s">
        <v>33</v>
      </c>
      <c r="C7" s="1890" t="s">
        <v>34</v>
      </c>
      <c r="D7" s="217"/>
      <c r="E7" s="1786" t="s">
        <v>177</v>
      </c>
      <c r="F7" s="1892" t="s">
        <v>35</v>
      </c>
      <c r="G7" s="1772" t="s">
        <v>178</v>
      </c>
      <c r="H7" s="1950" t="s">
        <v>179</v>
      </c>
      <c r="I7" s="1951"/>
      <c r="J7" s="1950" t="s">
        <v>180</v>
      </c>
      <c r="K7" s="1951"/>
      <c r="L7" s="1872" t="s">
        <v>181</v>
      </c>
      <c r="M7" s="1955"/>
      <c r="N7" s="1976"/>
      <c r="O7" s="1977"/>
      <c r="P7" s="1872"/>
      <c r="Q7" s="1956"/>
    </row>
    <row r="8" spans="1:23" ht="19.5" customHeight="1">
      <c r="A8" s="1947"/>
      <c r="B8" s="1889"/>
      <c r="C8" s="1891"/>
      <c r="D8" s="218"/>
      <c r="E8" s="1787"/>
      <c r="F8" s="1893"/>
      <c r="G8" s="1773"/>
      <c r="H8" s="1874" t="s">
        <v>182</v>
      </c>
      <c r="I8" s="1874"/>
      <c r="J8" s="1874" t="s">
        <v>183</v>
      </c>
      <c r="K8" s="1874"/>
      <c r="L8" s="1874" t="s">
        <v>184</v>
      </c>
      <c r="M8" s="1958"/>
      <c r="N8" s="1974"/>
      <c r="O8" s="1975"/>
      <c r="P8" s="1874"/>
      <c r="Q8" s="1959"/>
    </row>
    <row r="9" spans="1:23" ht="21.75" customHeight="1" thickBot="1">
      <c r="A9" s="1947"/>
      <c r="B9" s="1889"/>
      <c r="C9" s="1891"/>
      <c r="D9" s="218" t="s">
        <v>185</v>
      </c>
      <c r="E9" s="1787"/>
      <c r="F9" s="1893"/>
      <c r="G9" s="1773"/>
      <c r="H9" s="1874"/>
      <c r="I9" s="1874"/>
      <c r="J9" s="1874"/>
      <c r="K9" s="1874"/>
      <c r="L9" s="1874"/>
      <c r="M9" s="1958"/>
      <c r="N9" s="1974"/>
      <c r="O9" s="1975"/>
      <c r="P9" s="1874"/>
      <c r="Q9" s="1959"/>
      <c r="R9" s="1960"/>
    </row>
    <row r="10" spans="1:23" ht="39" customHeight="1" thickBot="1">
      <c r="A10" s="1947"/>
      <c r="B10" s="1889"/>
      <c r="C10" s="1891"/>
      <c r="D10" s="218" t="s">
        <v>186</v>
      </c>
      <c r="E10" s="1787"/>
      <c r="F10" s="1893"/>
      <c r="G10" s="1773"/>
      <c r="H10" s="1868" t="s">
        <v>187</v>
      </c>
      <c r="I10" s="1869"/>
      <c r="J10" s="1961" t="s">
        <v>188</v>
      </c>
      <c r="K10" s="1951"/>
      <c r="L10" s="1963" t="s">
        <v>189</v>
      </c>
      <c r="M10" s="1964"/>
      <c r="N10" s="1962"/>
      <c r="O10" s="1963"/>
      <c r="P10" s="1963"/>
      <c r="Q10" s="1965"/>
      <c r="R10" s="1960"/>
    </row>
    <row r="11" spans="1:23" ht="13.5" thickBot="1">
      <c r="A11" s="1947"/>
      <c r="B11" s="1889"/>
      <c r="C11" s="1891"/>
      <c r="D11" s="218"/>
      <c r="E11" s="1787"/>
      <c r="F11" s="1893"/>
      <c r="G11" s="1773"/>
      <c r="H11" s="1870" t="s">
        <v>46</v>
      </c>
      <c r="I11" s="1871"/>
      <c r="J11" s="1870" t="s">
        <v>46</v>
      </c>
      <c r="K11" s="1871"/>
      <c r="L11" s="1870" t="s">
        <v>46</v>
      </c>
      <c r="M11" s="1871"/>
      <c r="N11" s="1870"/>
      <c r="O11" s="1871"/>
      <c r="P11" s="32"/>
      <c r="Q11" s="33"/>
      <c r="R11" s="1960"/>
    </row>
    <row r="12" spans="1:23" ht="13.5" thickBot="1">
      <c r="A12" s="1947"/>
      <c r="B12" s="1889"/>
      <c r="C12" s="1891"/>
      <c r="D12" s="218"/>
      <c r="E12" s="1788"/>
      <c r="F12" s="1893"/>
      <c r="G12" s="1774"/>
      <c r="H12" s="34" t="s">
        <v>47</v>
      </c>
      <c r="I12" s="35" t="s">
        <v>48</v>
      </c>
      <c r="J12" s="34" t="s">
        <v>47</v>
      </c>
      <c r="K12" s="35" t="s">
        <v>48</v>
      </c>
      <c r="L12" s="34" t="s">
        <v>47</v>
      </c>
      <c r="M12" s="35" t="s">
        <v>48</v>
      </c>
      <c r="N12" s="34"/>
      <c r="O12" s="35"/>
      <c r="P12" s="38"/>
      <c r="Q12" s="39"/>
    </row>
    <row r="13" spans="1:23" ht="15.75">
      <c r="A13" s="40"/>
      <c r="B13" s="41"/>
      <c r="C13" s="42"/>
      <c r="D13" s="47"/>
      <c r="E13" s="265"/>
      <c r="F13" s="43"/>
      <c r="G13" s="265"/>
      <c r="H13" s="45"/>
      <c r="I13" s="46"/>
      <c r="J13" s="47"/>
      <c r="K13" s="48"/>
      <c r="L13" s="42"/>
      <c r="M13" s="48"/>
      <c r="N13" s="42"/>
      <c r="O13" s="44"/>
      <c r="P13" s="47"/>
      <c r="Q13" s="44"/>
    </row>
    <row r="14" spans="1:23" ht="15">
      <c r="A14" s="50">
        <v>1</v>
      </c>
      <c r="B14" s="235" t="s">
        <v>190</v>
      </c>
      <c r="C14" s="266">
        <v>100</v>
      </c>
      <c r="D14" s="266" t="s">
        <v>191</v>
      </c>
      <c r="E14" s="267">
        <v>3</v>
      </c>
      <c r="F14" s="235" t="s">
        <v>192</v>
      </c>
      <c r="G14" s="268">
        <v>3</v>
      </c>
      <c r="H14" s="269">
        <v>105</v>
      </c>
      <c r="I14" s="55">
        <f t="shared" ref="I14:I63" si="0">H14*$H$6</f>
        <v>87.69760068359156</v>
      </c>
      <c r="J14" s="270">
        <v>115</v>
      </c>
      <c r="K14" s="57">
        <f>J14*0.95</f>
        <v>109.25</v>
      </c>
      <c r="L14" s="76">
        <v>75</v>
      </c>
      <c r="M14" s="231">
        <f>L14*0.98</f>
        <v>73.5</v>
      </c>
      <c r="N14" s="271"/>
      <c r="O14" s="272"/>
      <c r="P14" s="234" t="s">
        <v>193</v>
      </c>
      <c r="Q14" s="235" t="s">
        <v>136</v>
      </c>
      <c r="R14" s="273" t="s">
        <v>193</v>
      </c>
      <c r="S14" s="273" t="s">
        <v>136</v>
      </c>
      <c r="T14" s="274" t="s">
        <v>190</v>
      </c>
      <c r="U14" s="275">
        <v>3</v>
      </c>
      <c r="V14" s="274" t="s">
        <v>192</v>
      </c>
      <c r="W14" s="9">
        <v>1</v>
      </c>
    </row>
    <row r="15" spans="1:23" ht="15">
      <c r="A15" s="50">
        <v>2</v>
      </c>
      <c r="B15" s="235" t="s">
        <v>194</v>
      </c>
      <c r="C15" s="266"/>
      <c r="D15" s="266"/>
      <c r="E15" s="267">
        <v>1</v>
      </c>
      <c r="F15" s="235" t="s">
        <v>192</v>
      </c>
      <c r="G15" s="268">
        <v>1</v>
      </c>
      <c r="H15" s="269">
        <v>330</v>
      </c>
      <c r="I15" s="55">
        <f t="shared" si="0"/>
        <v>275.62103071985916</v>
      </c>
      <c r="J15" s="270">
        <v>300</v>
      </c>
      <c r="K15" s="57">
        <f t="shared" ref="K15:K63" si="1">J15*0.95</f>
        <v>285</v>
      </c>
      <c r="L15" s="76">
        <v>200</v>
      </c>
      <c r="M15" s="231">
        <f t="shared" ref="M15:M52" si="2">L15*0.98</f>
        <v>196</v>
      </c>
      <c r="N15" s="276"/>
      <c r="O15" s="272"/>
      <c r="P15" s="234" t="s">
        <v>193</v>
      </c>
      <c r="Q15" s="235" t="s">
        <v>147</v>
      </c>
      <c r="R15" s="273" t="s">
        <v>193</v>
      </c>
      <c r="S15" s="273" t="s">
        <v>147</v>
      </c>
      <c r="T15" s="274" t="s">
        <v>194</v>
      </c>
      <c r="U15" s="275">
        <v>1</v>
      </c>
      <c r="V15" s="274" t="s">
        <v>192</v>
      </c>
      <c r="W15" s="9">
        <v>2</v>
      </c>
    </row>
    <row r="16" spans="1:23" ht="15">
      <c r="A16" s="50">
        <v>3</v>
      </c>
      <c r="B16" s="277" t="s">
        <v>195</v>
      </c>
      <c r="C16" s="266"/>
      <c r="D16" s="266"/>
      <c r="E16" s="267">
        <v>2</v>
      </c>
      <c r="F16" s="235" t="s">
        <v>192</v>
      </c>
      <c r="G16" s="268">
        <v>2</v>
      </c>
      <c r="H16" s="269">
        <v>4500</v>
      </c>
      <c r="I16" s="55">
        <f t="shared" si="0"/>
        <v>3758.4686007253526</v>
      </c>
      <c r="J16" s="270">
        <v>3375</v>
      </c>
      <c r="K16" s="57">
        <f t="shared" si="1"/>
        <v>3206.25</v>
      </c>
      <c r="L16" s="76">
        <v>2500</v>
      </c>
      <c r="M16" s="231">
        <f t="shared" si="2"/>
        <v>2450</v>
      </c>
      <c r="N16" s="276"/>
      <c r="O16" s="272"/>
      <c r="P16" s="234" t="s">
        <v>193</v>
      </c>
      <c r="Q16" s="235" t="s">
        <v>150</v>
      </c>
      <c r="R16" s="273" t="s">
        <v>193</v>
      </c>
      <c r="S16" s="273" t="s">
        <v>150</v>
      </c>
      <c r="T16" s="274" t="s">
        <v>196</v>
      </c>
      <c r="U16" s="275">
        <v>2</v>
      </c>
      <c r="V16" s="274" t="s">
        <v>192</v>
      </c>
      <c r="W16" s="9">
        <v>3</v>
      </c>
    </row>
    <row r="17" spans="1:23" ht="15">
      <c r="A17" s="50">
        <v>4</v>
      </c>
      <c r="B17" s="278" t="s">
        <v>197</v>
      </c>
      <c r="C17" s="266"/>
      <c r="D17" s="266"/>
      <c r="E17" s="279">
        <v>0</v>
      </c>
      <c r="F17" s="235" t="s">
        <v>192</v>
      </c>
      <c r="G17" s="268">
        <v>0</v>
      </c>
      <c r="H17" s="269">
        <v>6300</v>
      </c>
      <c r="I17" s="55">
        <f t="shared" si="0"/>
        <v>5261.8560410154932</v>
      </c>
      <c r="J17" s="270">
        <v>4995</v>
      </c>
      <c r="K17" s="57">
        <f t="shared" si="1"/>
        <v>4745.25</v>
      </c>
      <c r="L17" s="280">
        <v>3200</v>
      </c>
      <c r="M17" s="281">
        <f t="shared" si="2"/>
        <v>3136</v>
      </c>
      <c r="N17" s="276"/>
      <c r="O17" s="272"/>
      <c r="P17" s="234" t="s">
        <v>193</v>
      </c>
      <c r="Q17" s="235" t="s">
        <v>152</v>
      </c>
      <c r="R17" s="273" t="s">
        <v>193</v>
      </c>
      <c r="S17" s="273" t="s">
        <v>152</v>
      </c>
      <c r="T17" s="274" t="s">
        <v>198</v>
      </c>
      <c r="U17" s="275">
        <v>1</v>
      </c>
      <c r="V17" s="274" t="s">
        <v>192</v>
      </c>
      <c r="W17" s="9">
        <v>4</v>
      </c>
    </row>
    <row r="18" spans="1:23" ht="15">
      <c r="A18" s="50">
        <v>5</v>
      </c>
      <c r="B18" s="235" t="s">
        <v>199</v>
      </c>
      <c r="C18" s="266">
        <v>62.4</v>
      </c>
      <c r="D18" s="266" t="s">
        <v>200</v>
      </c>
      <c r="E18" s="267">
        <v>3</v>
      </c>
      <c r="F18" s="235" t="s">
        <v>192</v>
      </c>
      <c r="G18" s="268">
        <v>3</v>
      </c>
      <c r="H18" s="269">
        <v>65</v>
      </c>
      <c r="I18" s="55">
        <f t="shared" si="0"/>
        <v>54.288990899366205</v>
      </c>
      <c r="J18" s="270">
        <v>60</v>
      </c>
      <c r="K18" s="57">
        <f t="shared" si="1"/>
        <v>57</v>
      </c>
      <c r="L18" s="76">
        <v>55</v>
      </c>
      <c r="M18" s="231">
        <f t="shared" si="2"/>
        <v>53.9</v>
      </c>
      <c r="N18" s="282"/>
      <c r="O18" s="272"/>
      <c r="P18" s="234" t="s">
        <v>193</v>
      </c>
      <c r="Q18" s="235" t="s">
        <v>140</v>
      </c>
      <c r="R18" s="273" t="s">
        <v>193</v>
      </c>
      <c r="S18" s="273" t="s">
        <v>140</v>
      </c>
      <c r="T18" s="274" t="s">
        <v>199</v>
      </c>
      <c r="U18" s="275">
        <v>3</v>
      </c>
      <c r="V18" s="274" t="s">
        <v>192</v>
      </c>
      <c r="W18" s="9">
        <v>5</v>
      </c>
    </row>
    <row r="19" spans="1:23" ht="15">
      <c r="A19" s="50">
        <v>6</v>
      </c>
      <c r="B19" s="235" t="s">
        <v>201</v>
      </c>
      <c r="C19" s="266">
        <v>100</v>
      </c>
      <c r="D19" s="266" t="s">
        <v>191</v>
      </c>
      <c r="E19" s="267">
        <v>26</v>
      </c>
      <c r="F19" s="235" t="s">
        <v>192</v>
      </c>
      <c r="G19" s="268">
        <v>26</v>
      </c>
      <c r="H19" s="269">
        <v>105</v>
      </c>
      <c r="I19" s="55">
        <f t="shared" si="0"/>
        <v>87.69760068359156</v>
      </c>
      <c r="J19" s="270">
        <v>115</v>
      </c>
      <c r="K19" s="57">
        <f t="shared" si="1"/>
        <v>109.25</v>
      </c>
      <c r="L19" s="76">
        <v>80</v>
      </c>
      <c r="M19" s="231">
        <f t="shared" si="2"/>
        <v>78.400000000000006</v>
      </c>
      <c r="N19" s="282"/>
      <c r="O19" s="272"/>
      <c r="P19" s="234" t="s">
        <v>193</v>
      </c>
      <c r="Q19" s="235" t="s">
        <v>202</v>
      </c>
      <c r="R19" s="273" t="s">
        <v>193</v>
      </c>
      <c r="S19" s="273" t="s">
        <v>202</v>
      </c>
      <c r="T19" s="274" t="s">
        <v>201</v>
      </c>
      <c r="U19" s="275">
        <v>26</v>
      </c>
      <c r="V19" s="274" t="s">
        <v>192</v>
      </c>
      <c r="W19" s="9">
        <v>6</v>
      </c>
    </row>
    <row r="20" spans="1:23" ht="15">
      <c r="A20" s="50">
        <v>7</v>
      </c>
      <c r="B20" s="235" t="s">
        <v>203</v>
      </c>
      <c r="C20" s="266"/>
      <c r="D20" s="266"/>
      <c r="E20" s="267">
        <v>11</v>
      </c>
      <c r="F20" s="235" t="s">
        <v>192</v>
      </c>
      <c r="G20" s="268">
        <v>11</v>
      </c>
      <c r="H20" s="269">
        <v>230</v>
      </c>
      <c r="I20" s="55">
        <f t="shared" si="0"/>
        <v>192.09950625929579</v>
      </c>
      <c r="J20" s="270">
        <v>270</v>
      </c>
      <c r="K20" s="57">
        <f t="shared" si="1"/>
        <v>256.5</v>
      </c>
      <c r="L20" s="76">
        <v>210</v>
      </c>
      <c r="M20" s="231">
        <f t="shared" si="2"/>
        <v>205.79999999999998</v>
      </c>
      <c r="N20" s="276"/>
      <c r="O20" s="272"/>
      <c r="P20" s="234" t="s">
        <v>193</v>
      </c>
      <c r="Q20" s="235" t="s">
        <v>204</v>
      </c>
      <c r="R20" s="273" t="s">
        <v>193</v>
      </c>
      <c r="S20" s="273" t="s">
        <v>204</v>
      </c>
      <c r="T20" s="274" t="s">
        <v>203</v>
      </c>
      <c r="U20" s="275">
        <v>11</v>
      </c>
      <c r="V20" s="274" t="s">
        <v>192</v>
      </c>
      <c r="W20" s="9">
        <v>7</v>
      </c>
    </row>
    <row r="21" spans="1:23" ht="15">
      <c r="A21" s="50">
        <v>8</v>
      </c>
      <c r="B21" s="235" t="s">
        <v>205</v>
      </c>
      <c r="C21" s="266">
        <v>100</v>
      </c>
      <c r="D21" s="266" t="s">
        <v>191</v>
      </c>
      <c r="E21" s="267">
        <v>77</v>
      </c>
      <c r="F21" s="235" t="s">
        <v>192</v>
      </c>
      <c r="G21" s="268">
        <v>77</v>
      </c>
      <c r="H21" s="269">
        <v>110</v>
      </c>
      <c r="I21" s="55">
        <f t="shared" si="0"/>
        <v>91.873676906619735</v>
      </c>
      <c r="J21" s="270">
        <v>95</v>
      </c>
      <c r="K21" s="57">
        <f t="shared" si="1"/>
        <v>90.25</v>
      </c>
      <c r="L21" s="76">
        <v>75</v>
      </c>
      <c r="M21" s="231">
        <f t="shared" si="2"/>
        <v>73.5</v>
      </c>
      <c r="N21" s="276"/>
      <c r="O21" s="272"/>
      <c r="P21" s="234" t="s">
        <v>193</v>
      </c>
      <c r="Q21" s="235" t="s">
        <v>206</v>
      </c>
      <c r="R21" s="273" t="s">
        <v>193</v>
      </c>
      <c r="S21" s="273" t="s">
        <v>206</v>
      </c>
      <c r="T21" s="274" t="s">
        <v>205</v>
      </c>
      <c r="U21" s="275">
        <v>77</v>
      </c>
      <c r="V21" s="274" t="s">
        <v>192</v>
      </c>
      <c r="W21" s="9">
        <v>8</v>
      </c>
    </row>
    <row r="22" spans="1:23" ht="15">
      <c r="A22" s="50">
        <v>9</v>
      </c>
      <c r="B22" s="277" t="s">
        <v>207</v>
      </c>
      <c r="C22" s="266">
        <v>300</v>
      </c>
      <c r="D22" s="266" t="s">
        <v>208</v>
      </c>
      <c r="E22" s="267">
        <v>2</v>
      </c>
      <c r="F22" s="235" t="s">
        <v>192</v>
      </c>
      <c r="G22" s="268">
        <v>2</v>
      </c>
      <c r="H22" s="269">
        <v>270</v>
      </c>
      <c r="I22" s="55">
        <f t="shared" si="0"/>
        <v>225.50811604352114</v>
      </c>
      <c r="J22" s="270">
        <v>295</v>
      </c>
      <c r="K22" s="57">
        <f t="shared" si="1"/>
        <v>280.25</v>
      </c>
      <c r="L22" s="76">
        <v>210</v>
      </c>
      <c r="M22" s="231">
        <f t="shared" si="2"/>
        <v>205.79999999999998</v>
      </c>
      <c r="N22" s="276"/>
      <c r="O22" s="272"/>
      <c r="P22" s="234" t="s">
        <v>193</v>
      </c>
      <c r="Q22" s="235" t="s">
        <v>209</v>
      </c>
      <c r="R22" s="273" t="s">
        <v>193</v>
      </c>
      <c r="S22" s="273" t="s">
        <v>209</v>
      </c>
      <c r="T22" s="274" t="s">
        <v>210</v>
      </c>
      <c r="U22" s="275">
        <v>2</v>
      </c>
      <c r="V22" s="274" t="s">
        <v>192</v>
      </c>
      <c r="W22" s="9">
        <v>9</v>
      </c>
    </row>
    <row r="23" spans="1:23" ht="15">
      <c r="A23" s="50">
        <v>10</v>
      </c>
      <c r="B23" s="235" t="s">
        <v>211</v>
      </c>
      <c r="C23" s="266"/>
      <c r="D23" s="266"/>
      <c r="E23" s="267">
        <v>33</v>
      </c>
      <c r="F23" s="235" t="s">
        <v>192</v>
      </c>
      <c r="G23" s="268">
        <v>33</v>
      </c>
      <c r="H23" s="269">
        <v>450</v>
      </c>
      <c r="I23" s="55">
        <f t="shared" si="0"/>
        <v>375.84686007253526</v>
      </c>
      <c r="J23" s="270">
        <v>485</v>
      </c>
      <c r="K23" s="57">
        <f t="shared" si="1"/>
        <v>460.75</v>
      </c>
      <c r="L23" s="76">
        <v>400</v>
      </c>
      <c r="M23" s="231">
        <f t="shared" si="2"/>
        <v>392</v>
      </c>
      <c r="N23" s="276"/>
      <c r="O23" s="272"/>
      <c r="P23" s="234" t="s">
        <v>193</v>
      </c>
      <c r="Q23" s="235" t="s">
        <v>212</v>
      </c>
      <c r="R23" s="273" t="s">
        <v>193</v>
      </c>
      <c r="S23" s="273" t="s">
        <v>212</v>
      </c>
      <c r="T23" s="274" t="s">
        <v>211</v>
      </c>
      <c r="U23" s="275">
        <v>33</v>
      </c>
      <c r="V23" s="274" t="s">
        <v>192</v>
      </c>
      <c r="W23" s="9">
        <v>10</v>
      </c>
    </row>
    <row r="24" spans="1:23" ht="15">
      <c r="A24" s="50">
        <v>11</v>
      </c>
      <c r="B24" s="235" t="s">
        <v>213</v>
      </c>
      <c r="C24" s="266">
        <v>1132</v>
      </c>
      <c r="D24" s="266" t="s">
        <v>200</v>
      </c>
      <c r="E24" s="267">
        <v>15</v>
      </c>
      <c r="F24" s="235" t="s">
        <v>192</v>
      </c>
      <c r="G24" s="268">
        <v>7</v>
      </c>
      <c r="H24" s="269">
        <v>1190</v>
      </c>
      <c r="I24" s="55">
        <f t="shared" si="0"/>
        <v>993.90614108070429</v>
      </c>
      <c r="J24" s="270">
        <v>1215</v>
      </c>
      <c r="K24" s="57">
        <f t="shared" si="1"/>
        <v>1154.25</v>
      </c>
      <c r="L24" s="76">
        <v>900</v>
      </c>
      <c r="M24" s="231">
        <f t="shared" si="2"/>
        <v>882</v>
      </c>
      <c r="N24" s="283"/>
      <c r="O24" s="272"/>
      <c r="P24" s="234" t="s">
        <v>193</v>
      </c>
      <c r="Q24" s="235" t="s">
        <v>214</v>
      </c>
      <c r="R24" s="273" t="s">
        <v>193</v>
      </c>
      <c r="S24" s="273" t="s">
        <v>214</v>
      </c>
      <c r="T24" s="274" t="s">
        <v>213</v>
      </c>
      <c r="U24" s="275">
        <v>7</v>
      </c>
      <c r="V24" s="274" t="s">
        <v>192</v>
      </c>
      <c r="W24" s="9">
        <v>11</v>
      </c>
    </row>
    <row r="25" spans="1:23" ht="15.75">
      <c r="A25" s="50">
        <v>12</v>
      </c>
      <c r="B25" s="235" t="s">
        <v>215</v>
      </c>
      <c r="C25" s="266">
        <v>1900</v>
      </c>
      <c r="D25" s="266" t="s">
        <v>191</v>
      </c>
      <c r="E25" s="267">
        <v>15</v>
      </c>
      <c r="F25" s="235" t="s">
        <v>192</v>
      </c>
      <c r="G25" s="268">
        <v>7</v>
      </c>
      <c r="H25" s="284">
        <v>2650</v>
      </c>
      <c r="I25" s="55">
        <f t="shared" si="0"/>
        <v>2213.3203982049299</v>
      </c>
      <c r="J25" s="270">
        <v>2295</v>
      </c>
      <c r="K25" s="57">
        <f t="shared" si="1"/>
        <v>2180.25</v>
      </c>
      <c r="L25" s="76">
        <v>1500</v>
      </c>
      <c r="M25" s="231">
        <f t="shared" si="2"/>
        <v>1470</v>
      </c>
      <c r="N25" s="271"/>
      <c r="O25" s="272"/>
      <c r="P25" s="234" t="s">
        <v>193</v>
      </c>
      <c r="Q25" s="235" t="s">
        <v>216</v>
      </c>
      <c r="R25" s="273" t="s">
        <v>193</v>
      </c>
      <c r="S25" s="273" t="s">
        <v>216</v>
      </c>
      <c r="T25" s="274" t="s">
        <v>215</v>
      </c>
      <c r="U25" s="275">
        <v>7</v>
      </c>
      <c r="V25" s="274" t="s">
        <v>192</v>
      </c>
      <c r="W25" s="9">
        <v>12</v>
      </c>
    </row>
    <row r="26" spans="1:23" ht="15.75">
      <c r="A26" s="50">
        <v>13</v>
      </c>
      <c r="B26" s="235" t="s">
        <v>217</v>
      </c>
      <c r="C26" s="266"/>
      <c r="D26" s="266"/>
      <c r="E26" s="267">
        <v>13</v>
      </c>
      <c r="F26" s="235" t="s">
        <v>192</v>
      </c>
      <c r="G26" s="268">
        <v>13</v>
      </c>
      <c r="H26" s="284">
        <v>4500</v>
      </c>
      <c r="I26" s="55">
        <f t="shared" si="0"/>
        <v>3758.4686007253526</v>
      </c>
      <c r="J26" s="270">
        <v>3900</v>
      </c>
      <c r="K26" s="57">
        <f t="shared" si="1"/>
        <v>3705</v>
      </c>
      <c r="L26" s="76">
        <v>3100</v>
      </c>
      <c r="M26" s="231">
        <f t="shared" si="2"/>
        <v>3038</v>
      </c>
      <c r="N26" s="285"/>
      <c r="O26" s="272"/>
      <c r="P26" s="234" t="s">
        <v>193</v>
      </c>
      <c r="Q26" s="235" t="s">
        <v>218</v>
      </c>
      <c r="R26" s="273" t="s">
        <v>193</v>
      </c>
      <c r="S26" s="273" t="s">
        <v>218</v>
      </c>
      <c r="T26" s="274" t="s">
        <v>217</v>
      </c>
      <c r="U26" s="275">
        <v>13</v>
      </c>
      <c r="V26" s="274" t="s">
        <v>192</v>
      </c>
      <c r="W26" s="9">
        <v>13</v>
      </c>
    </row>
    <row r="27" spans="1:23" ht="15.75">
      <c r="A27" s="50">
        <v>14</v>
      </c>
      <c r="B27" s="235" t="s">
        <v>219</v>
      </c>
      <c r="C27" s="266"/>
      <c r="D27" s="266"/>
      <c r="E27" s="267">
        <v>24</v>
      </c>
      <c r="F27" s="235" t="s">
        <v>192</v>
      </c>
      <c r="G27" s="286">
        <v>24</v>
      </c>
      <c r="H27" s="284">
        <v>6800</v>
      </c>
      <c r="I27" s="55">
        <f t="shared" si="0"/>
        <v>5679.4636633183109</v>
      </c>
      <c r="J27" s="270">
        <v>5850</v>
      </c>
      <c r="K27" s="57">
        <f t="shared" si="1"/>
        <v>5557.5</v>
      </c>
      <c r="L27" s="76">
        <v>5000</v>
      </c>
      <c r="M27" s="231">
        <f t="shared" si="2"/>
        <v>4900</v>
      </c>
      <c r="N27" s="285"/>
      <c r="O27" s="272"/>
      <c r="P27" s="287" t="s">
        <v>193</v>
      </c>
      <c r="Q27" s="288" t="s">
        <v>220</v>
      </c>
      <c r="R27" s="273" t="s">
        <v>193</v>
      </c>
      <c r="S27" s="273" t="s">
        <v>220</v>
      </c>
      <c r="T27" s="274" t="s">
        <v>219</v>
      </c>
      <c r="U27" s="275">
        <v>33</v>
      </c>
      <c r="V27" s="274" t="s">
        <v>192</v>
      </c>
      <c r="W27" s="9">
        <v>14</v>
      </c>
    </row>
    <row r="28" spans="1:23" ht="15.75">
      <c r="A28" s="50">
        <v>15</v>
      </c>
      <c r="B28" s="235" t="s">
        <v>221</v>
      </c>
      <c r="C28" s="266"/>
      <c r="D28" s="266"/>
      <c r="E28" s="267">
        <v>15</v>
      </c>
      <c r="F28" s="235" t="s">
        <v>192</v>
      </c>
      <c r="G28" s="268">
        <v>15</v>
      </c>
      <c r="H28" s="284">
        <v>9600</v>
      </c>
      <c r="I28" s="55">
        <f t="shared" si="0"/>
        <v>8018.0663482140853</v>
      </c>
      <c r="J28" s="270">
        <v>9000</v>
      </c>
      <c r="K28" s="57">
        <f t="shared" si="1"/>
        <v>8550</v>
      </c>
      <c r="L28" s="76">
        <v>8000</v>
      </c>
      <c r="M28" s="231">
        <f t="shared" si="2"/>
        <v>7840</v>
      </c>
      <c r="N28" s="285"/>
      <c r="O28" s="272"/>
      <c r="P28" s="234" t="s">
        <v>193</v>
      </c>
      <c r="Q28" s="235" t="s">
        <v>222</v>
      </c>
      <c r="R28" s="273" t="s">
        <v>193</v>
      </c>
      <c r="S28" s="273" t="s">
        <v>222</v>
      </c>
      <c r="T28" s="274" t="s">
        <v>221</v>
      </c>
      <c r="U28" s="275">
        <v>30</v>
      </c>
      <c r="V28" s="274" t="s">
        <v>192</v>
      </c>
      <c r="W28" s="9">
        <v>15</v>
      </c>
    </row>
    <row r="29" spans="1:23" ht="15.75">
      <c r="A29" s="50">
        <v>16</v>
      </c>
      <c r="B29" s="235" t="s">
        <v>223</v>
      </c>
      <c r="C29" s="266"/>
      <c r="D29" s="266"/>
      <c r="E29" s="267">
        <v>46</v>
      </c>
      <c r="F29" s="235" t="s">
        <v>192</v>
      </c>
      <c r="G29" s="268">
        <v>46</v>
      </c>
      <c r="H29" s="284">
        <v>15200</v>
      </c>
      <c r="I29" s="55">
        <f t="shared" si="0"/>
        <v>12695.271718005635</v>
      </c>
      <c r="J29" s="270">
        <v>13000</v>
      </c>
      <c r="K29" s="57">
        <f t="shared" si="1"/>
        <v>12350</v>
      </c>
      <c r="L29" s="76">
        <v>12000</v>
      </c>
      <c r="M29" s="231">
        <f t="shared" si="2"/>
        <v>11760</v>
      </c>
      <c r="N29" s="285"/>
      <c r="O29" s="272"/>
      <c r="P29" s="234" t="s">
        <v>193</v>
      </c>
      <c r="Q29" s="235" t="s">
        <v>224</v>
      </c>
      <c r="R29" s="273" t="s">
        <v>193</v>
      </c>
      <c r="S29" s="273" t="s">
        <v>224</v>
      </c>
      <c r="T29" s="274" t="s">
        <v>223</v>
      </c>
      <c r="U29" s="275">
        <v>50</v>
      </c>
      <c r="V29" s="274" t="s">
        <v>192</v>
      </c>
      <c r="W29" s="9">
        <v>16</v>
      </c>
    </row>
    <row r="30" spans="1:23" ht="15.75">
      <c r="A30" s="50">
        <v>17</v>
      </c>
      <c r="B30" s="235" t="s">
        <v>225</v>
      </c>
      <c r="C30" s="266"/>
      <c r="D30" s="266"/>
      <c r="E30" s="267">
        <v>1</v>
      </c>
      <c r="F30" s="235" t="s">
        <v>192</v>
      </c>
      <c r="G30" s="268">
        <v>1</v>
      </c>
      <c r="H30" s="284">
        <v>55</v>
      </c>
      <c r="I30" s="55">
        <f t="shared" si="0"/>
        <v>45.936838453309868</v>
      </c>
      <c r="J30" s="270">
        <v>95</v>
      </c>
      <c r="K30" s="57">
        <f t="shared" si="1"/>
        <v>90.25</v>
      </c>
      <c r="L30" s="76">
        <v>80</v>
      </c>
      <c r="M30" s="231">
        <f t="shared" si="2"/>
        <v>78.400000000000006</v>
      </c>
      <c r="N30" s="285"/>
      <c r="O30" s="272"/>
      <c r="P30" s="234" t="s">
        <v>226</v>
      </c>
      <c r="Q30" s="235" t="s">
        <v>136</v>
      </c>
      <c r="R30" s="273" t="s">
        <v>226</v>
      </c>
      <c r="S30" s="273" t="s">
        <v>136</v>
      </c>
      <c r="T30" s="274" t="s">
        <v>225</v>
      </c>
      <c r="U30" s="275">
        <v>1</v>
      </c>
      <c r="V30" s="274" t="s">
        <v>192</v>
      </c>
      <c r="W30" s="9">
        <v>17</v>
      </c>
    </row>
    <row r="31" spans="1:23" ht="15.75">
      <c r="A31" s="50">
        <v>18</v>
      </c>
      <c r="B31" s="235" t="s">
        <v>227</v>
      </c>
      <c r="C31" s="266"/>
      <c r="D31" s="266"/>
      <c r="E31" s="267">
        <v>3</v>
      </c>
      <c r="F31" s="235" t="s">
        <v>192</v>
      </c>
      <c r="G31" s="268">
        <v>3</v>
      </c>
      <c r="H31" s="284">
        <v>4500</v>
      </c>
      <c r="I31" s="55">
        <f t="shared" si="0"/>
        <v>3758.4686007253526</v>
      </c>
      <c r="J31" s="270">
        <v>4750</v>
      </c>
      <c r="K31" s="57">
        <f t="shared" si="1"/>
        <v>4512.5</v>
      </c>
      <c r="L31" s="76">
        <v>2800</v>
      </c>
      <c r="M31" s="231">
        <f t="shared" si="2"/>
        <v>2744</v>
      </c>
      <c r="N31" s="285"/>
      <c r="O31" s="272"/>
      <c r="P31" s="234" t="s">
        <v>226</v>
      </c>
      <c r="Q31" s="235" t="s">
        <v>147</v>
      </c>
      <c r="R31" s="273" t="s">
        <v>226</v>
      </c>
      <c r="S31" s="273" t="s">
        <v>147</v>
      </c>
      <c r="T31" s="274" t="s">
        <v>227</v>
      </c>
      <c r="U31" s="275">
        <v>3</v>
      </c>
      <c r="V31" s="274" t="s">
        <v>192</v>
      </c>
      <c r="W31" s="9">
        <v>18</v>
      </c>
    </row>
    <row r="32" spans="1:23" ht="15.75">
      <c r="A32" s="50">
        <v>20</v>
      </c>
      <c r="B32" s="235" t="s">
        <v>228</v>
      </c>
      <c r="C32" s="266"/>
      <c r="D32" s="266"/>
      <c r="E32" s="267">
        <v>3</v>
      </c>
      <c r="F32" s="235" t="s">
        <v>192</v>
      </c>
      <c r="G32" s="268">
        <v>3</v>
      </c>
      <c r="H32" s="284">
        <v>8900</v>
      </c>
      <c r="I32" s="55">
        <f t="shared" si="0"/>
        <v>7433.4156769901419</v>
      </c>
      <c r="J32" s="270">
        <v>7425</v>
      </c>
      <c r="K32" s="57">
        <f t="shared" si="1"/>
        <v>7053.75</v>
      </c>
      <c r="L32" s="76">
        <v>5000</v>
      </c>
      <c r="M32" s="231">
        <f t="shared" si="2"/>
        <v>4900</v>
      </c>
      <c r="N32" s="285"/>
      <c r="O32" s="272"/>
      <c r="P32" s="234" t="s">
        <v>226</v>
      </c>
      <c r="Q32" s="235" t="s">
        <v>152</v>
      </c>
      <c r="R32" s="273" t="s">
        <v>226</v>
      </c>
      <c r="S32" s="273" t="s">
        <v>152</v>
      </c>
      <c r="T32" s="274" t="s">
        <v>228</v>
      </c>
      <c r="U32" s="275">
        <v>3</v>
      </c>
      <c r="V32" s="274" t="s">
        <v>192</v>
      </c>
      <c r="W32" s="9">
        <v>19</v>
      </c>
    </row>
    <row r="33" spans="1:23" ht="15.75">
      <c r="A33" s="50">
        <v>22</v>
      </c>
      <c r="B33" s="235" t="s">
        <v>229</v>
      </c>
      <c r="C33" s="266"/>
      <c r="D33" s="266"/>
      <c r="E33" s="267">
        <v>1</v>
      </c>
      <c r="F33" s="235" t="s">
        <v>192</v>
      </c>
      <c r="G33" s="268">
        <v>1</v>
      </c>
      <c r="H33" s="284">
        <v>8500</v>
      </c>
      <c r="I33" s="55">
        <f t="shared" si="0"/>
        <v>7099.3295791478886</v>
      </c>
      <c r="J33" s="270">
        <v>6075</v>
      </c>
      <c r="K33" s="57">
        <f t="shared" si="1"/>
        <v>5771.25</v>
      </c>
      <c r="L33" s="76">
        <v>4800</v>
      </c>
      <c r="M33" s="231">
        <f t="shared" si="2"/>
        <v>4704</v>
      </c>
      <c r="N33" s="285"/>
      <c r="O33" s="272"/>
      <c r="P33" s="234" t="s">
        <v>226</v>
      </c>
      <c r="Q33" s="235" t="s">
        <v>202</v>
      </c>
      <c r="R33" s="273" t="s">
        <v>226</v>
      </c>
      <c r="S33" s="273" t="s">
        <v>202</v>
      </c>
      <c r="T33" s="274" t="s">
        <v>229</v>
      </c>
      <c r="U33" s="275">
        <v>1</v>
      </c>
      <c r="V33" s="274" t="s">
        <v>192</v>
      </c>
      <c r="W33" s="9">
        <v>20</v>
      </c>
    </row>
    <row r="34" spans="1:23" ht="15.75">
      <c r="A34" s="50">
        <v>23</v>
      </c>
      <c r="B34" s="235" t="s">
        <v>230</v>
      </c>
      <c r="C34" s="266"/>
      <c r="D34" s="266"/>
      <c r="E34" s="267">
        <v>1</v>
      </c>
      <c r="F34" s="235" t="s">
        <v>192</v>
      </c>
      <c r="G34" s="268">
        <v>1</v>
      </c>
      <c r="H34" s="284">
        <v>85</v>
      </c>
      <c r="I34" s="55">
        <f t="shared" si="0"/>
        <v>70.993295791478886</v>
      </c>
      <c r="J34" s="270">
        <v>100</v>
      </c>
      <c r="K34" s="57">
        <f t="shared" si="1"/>
        <v>95</v>
      </c>
      <c r="L34" s="76">
        <v>50</v>
      </c>
      <c r="M34" s="231">
        <f t="shared" si="2"/>
        <v>49</v>
      </c>
      <c r="N34" s="285"/>
      <c r="O34" s="272"/>
      <c r="P34" s="234" t="s">
        <v>226</v>
      </c>
      <c r="Q34" s="235" t="s">
        <v>204</v>
      </c>
      <c r="R34" s="273" t="s">
        <v>226</v>
      </c>
      <c r="S34" s="273" t="s">
        <v>204</v>
      </c>
      <c r="T34" s="274" t="s">
        <v>230</v>
      </c>
      <c r="U34" s="275">
        <v>1</v>
      </c>
      <c r="V34" s="274" t="s">
        <v>192</v>
      </c>
      <c r="W34" s="9">
        <v>21</v>
      </c>
    </row>
    <row r="35" spans="1:23" ht="15.75">
      <c r="A35" s="50">
        <v>24</v>
      </c>
      <c r="B35" s="235" t="s">
        <v>231</v>
      </c>
      <c r="C35" s="266"/>
      <c r="D35" s="266"/>
      <c r="E35" s="267">
        <v>1</v>
      </c>
      <c r="F35" s="235" t="s">
        <v>192</v>
      </c>
      <c r="G35" s="268">
        <v>1</v>
      </c>
      <c r="H35" s="284">
        <v>2900</v>
      </c>
      <c r="I35" s="55">
        <f t="shared" si="0"/>
        <v>2422.1242093563383</v>
      </c>
      <c r="J35" s="270">
        <v>2700</v>
      </c>
      <c r="K35" s="57">
        <f t="shared" si="1"/>
        <v>2565</v>
      </c>
      <c r="L35" s="76">
        <v>1800</v>
      </c>
      <c r="M35" s="231">
        <f t="shared" si="2"/>
        <v>1764</v>
      </c>
      <c r="N35" s="285"/>
      <c r="O35" s="272"/>
      <c r="P35" s="234" t="s">
        <v>226</v>
      </c>
      <c r="Q35" s="235" t="s">
        <v>206</v>
      </c>
      <c r="R35" s="273" t="s">
        <v>226</v>
      </c>
      <c r="S35" s="273" t="s">
        <v>206</v>
      </c>
      <c r="T35" s="274" t="s">
        <v>231</v>
      </c>
      <c r="U35" s="275">
        <v>1</v>
      </c>
      <c r="V35" s="274" t="s">
        <v>192</v>
      </c>
      <c r="W35" s="9">
        <v>22</v>
      </c>
    </row>
    <row r="36" spans="1:23" ht="15.75">
      <c r="A36" s="50">
        <v>25</v>
      </c>
      <c r="B36" s="235" t="s">
        <v>232</v>
      </c>
      <c r="C36" s="266"/>
      <c r="D36" s="266"/>
      <c r="E36" s="267">
        <v>1</v>
      </c>
      <c r="F36" s="235" t="s">
        <v>192</v>
      </c>
      <c r="G36" s="268">
        <v>1</v>
      </c>
      <c r="H36" s="284">
        <v>6200</v>
      </c>
      <c r="I36" s="55">
        <f t="shared" si="0"/>
        <v>5178.3345165549299</v>
      </c>
      <c r="J36" s="270">
        <v>5400</v>
      </c>
      <c r="K36" s="57">
        <f t="shared" si="1"/>
        <v>5130</v>
      </c>
      <c r="L36" s="76">
        <v>3500</v>
      </c>
      <c r="M36" s="231">
        <f t="shared" si="2"/>
        <v>3430</v>
      </c>
      <c r="N36" s="285"/>
      <c r="O36" s="272"/>
      <c r="P36" s="234" t="s">
        <v>226</v>
      </c>
      <c r="Q36" s="235" t="s">
        <v>209</v>
      </c>
      <c r="R36" s="273" t="s">
        <v>226</v>
      </c>
      <c r="S36" s="273" t="s">
        <v>209</v>
      </c>
      <c r="T36" s="274" t="s">
        <v>232</v>
      </c>
      <c r="U36" s="275">
        <v>1</v>
      </c>
      <c r="V36" s="274" t="s">
        <v>192</v>
      </c>
      <c r="W36" s="9">
        <v>23</v>
      </c>
    </row>
    <row r="37" spans="1:23" ht="15.75">
      <c r="A37" s="50">
        <v>27</v>
      </c>
      <c r="B37" s="235" t="s">
        <v>233</v>
      </c>
      <c r="C37" s="266"/>
      <c r="D37" s="266"/>
      <c r="E37" s="267">
        <v>2</v>
      </c>
      <c r="F37" s="235" t="s">
        <v>192</v>
      </c>
      <c r="G37" s="268">
        <v>2</v>
      </c>
      <c r="H37" s="284">
        <v>11000</v>
      </c>
      <c r="I37" s="55">
        <f t="shared" si="0"/>
        <v>9187.367690661973</v>
      </c>
      <c r="J37" s="270">
        <v>9450</v>
      </c>
      <c r="K37" s="57">
        <f t="shared" si="1"/>
        <v>8977.5</v>
      </c>
      <c r="L37" s="76">
        <v>6000</v>
      </c>
      <c r="M37" s="231">
        <f t="shared" si="2"/>
        <v>5880</v>
      </c>
      <c r="N37" s="285"/>
      <c r="O37" s="272"/>
      <c r="P37" s="234" t="s">
        <v>226</v>
      </c>
      <c r="Q37" s="235" t="s">
        <v>214</v>
      </c>
      <c r="R37" s="273" t="s">
        <v>226</v>
      </c>
      <c r="S37" s="273" t="s">
        <v>214</v>
      </c>
      <c r="T37" s="274" t="s">
        <v>233</v>
      </c>
      <c r="U37" s="275">
        <v>2</v>
      </c>
      <c r="V37" s="274" t="s">
        <v>192</v>
      </c>
      <c r="W37" s="9">
        <v>24</v>
      </c>
    </row>
    <row r="38" spans="1:23" ht="15.75">
      <c r="A38" s="50">
        <v>28</v>
      </c>
      <c r="B38" s="235" t="s">
        <v>234</v>
      </c>
      <c r="C38" s="266"/>
      <c r="D38" s="266"/>
      <c r="E38" s="267">
        <v>2</v>
      </c>
      <c r="F38" s="235" t="s">
        <v>192</v>
      </c>
      <c r="G38" s="268">
        <v>2</v>
      </c>
      <c r="H38" s="284">
        <v>9800</v>
      </c>
      <c r="I38" s="55">
        <f t="shared" si="0"/>
        <v>8185.109397135212</v>
      </c>
      <c r="J38" s="270">
        <v>7425</v>
      </c>
      <c r="K38" s="57">
        <f t="shared" si="1"/>
        <v>7053.75</v>
      </c>
      <c r="L38" s="76">
        <v>5000</v>
      </c>
      <c r="M38" s="231">
        <f t="shared" si="2"/>
        <v>4900</v>
      </c>
      <c r="N38" s="285"/>
      <c r="O38" s="272"/>
      <c r="P38" s="234" t="s">
        <v>226</v>
      </c>
      <c r="Q38" s="235" t="s">
        <v>216</v>
      </c>
      <c r="R38" s="273" t="s">
        <v>226</v>
      </c>
      <c r="S38" s="273" t="s">
        <v>216</v>
      </c>
      <c r="T38" s="274" t="s">
        <v>234</v>
      </c>
      <c r="U38" s="275">
        <v>2</v>
      </c>
      <c r="V38" s="274" t="s">
        <v>192</v>
      </c>
      <c r="W38" s="9">
        <v>25</v>
      </c>
    </row>
    <row r="39" spans="1:23" ht="15.75">
      <c r="A39" s="50">
        <v>29</v>
      </c>
      <c r="B39" s="235" t="s">
        <v>235</v>
      </c>
      <c r="C39" s="266"/>
      <c r="D39" s="266"/>
      <c r="E39" s="267">
        <v>3</v>
      </c>
      <c r="F39" s="235" t="s">
        <v>192</v>
      </c>
      <c r="G39" s="268">
        <v>3</v>
      </c>
      <c r="H39" s="284">
        <v>95</v>
      </c>
      <c r="I39" s="55">
        <f t="shared" si="0"/>
        <v>79.345448237535223</v>
      </c>
      <c r="J39" s="270">
        <v>100</v>
      </c>
      <c r="K39" s="57">
        <f t="shared" si="1"/>
        <v>95</v>
      </c>
      <c r="L39" s="76">
        <v>75</v>
      </c>
      <c r="M39" s="231">
        <f t="shared" si="2"/>
        <v>73.5</v>
      </c>
      <c r="N39" s="285"/>
      <c r="O39" s="272"/>
      <c r="P39" s="234" t="s">
        <v>236</v>
      </c>
      <c r="Q39" s="235" t="s">
        <v>136</v>
      </c>
      <c r="R39" s="273" t="s">
        <v>236</v>
      </c>
      <c r="S39" s="273" t="s">
        <v>136</v>
      </c>
      <c r="T39" s="274" t="s">
        <v>235</v>
      </c>
      <c r="U39" s="275">
        <v>3</v>
      </c>
      <c r="V39" s="274" t="s">
        <v>192</v>
      </c>
      <c r="W39" s="9">
        <v>26</v>
      </c>
    </row>
    <row r="40" spans="1:23" ht="15.75">
      <c r="A40" s="50">
        <v>30</v>
      </c>
      <c r="B40" s="235" t="s">
        <v>237</v>
      </c>
      <c r="C40" s="266"/>
      <c r="D40" s="266"/>
      <c r="E40" s="267">
        <v>3</v>
      </c>
      <c r="F40" s="235" t="s">
        <v>192</v>
      </c>
      <c r="G40" s="268">
        <v>3</v>
      </c>
      <c r="H40" s="284">
        <v>175</v>
      </c>
      <c r="I40" s="55">
        <f t="shared" si="0"/>
        <v>146.16266780598593</v>
      </c>
      <c r="J40" s="270">
        <v>170</v>
      </c>
      <c r="K40" s="57">
        <f t="shared" si="1"/>
        <v>161.5</v>
      </c>
      <c r="L40" s="76">
        <v>150</v>
      </c>
      <c r="M40" s="231">
        <f t="shared" si="2"/>
        <v>147</v>
      </c>
      <c r="N40" s="285"/>
      <c r="O40" s="272"/>
      <c r="P40" s="234" t="s">
        <v>236</v>
      </c>
      <c r="Q40" s="235" t="s">
        <v>147</v>
      </c>
      <c r="R40" s="273" t="s">
        <v>236</v>
      </c>
      <c r="S40" s="273" t="s">
        <v>147</v>
      </c>
      <c r="T40" s="274" t="s">
        <v>237</v>
      </c>
      <c r="U40" s="275">
        <v>3</v>
      </c>
      <c r="V40" s="274" t="s">
        <v>192</v>
      </c>
      <c r="W40" s="9">
        <v>27</v>
      </c>
    </row>
    <row r="41" spans="1:23" ht="15.75">
      <c r="A41" s="50">
        <v>31</v>
      </c>
      <c r="B41" s="235" t="s">
        <v>238</v>
      </c>
      <c r="C41" s="266"/>
      <c r="D41" s="266"/>
      <c r="E41" s="267">
        <v>2</v>
      </c>
      <c r="F41" s="235" t="s">
        <v>192</v>
      </c>
      <c r="G41" s="268">
        <v>2</v>
      </c>
      <c r="H41" s="284">
        <v>390</v>
      </c>
      <c r="I41" s="55">
        <f t="shared" si="0"/>
        <v>325.73394539619721</v>
      </c>
      <c r="J41" s="270">
        <v>405</v>
      </c>
      <c r="K41" s="57">
        <f t="shared" si="1"/>
        <v>384.75</v>
      </c>
      <c r="L41" s="76">
        <v>250</v>
      </c>
      <c r="M41" s="231">
        <f t="shared" si="2"/>
        <v>245</v>
      </c>
      <c r="N41" s="285"/>
      <c r="O41" s="272"/>
      <c r="P41" s="234" t="s">
        <v>236</v>
      </c>
      <c r="Q41" s="235" t="s">
        <v>150</v>
      </c>
      <c r="R41" s="273" t="s">
        <v>236</v>
      </c>
      <c r="S41" s="273" t="s">
        <v>150</v>
      </c>
      <c r="T41" s="274" t="s">
        <v>238</v>
      </c>
      <c r="U41" s="275">
        <v>2</v>
      </c>
      <c r="V41" s="274" t="s">
        <v>192</v>
      </c>
      <c r="W41" s="9">
        <v>28</v>
      </c>
    </row>
    <row r="42" spans="1:23" ht="15.75">
      <c r="A42" s="50">
        <v>32</v>
      </c>
      <c r="B42" s="235" t="s">
        <v>239</v>
      </c>
      <c r="C42" s="266">
        <v>230</v>
      </c>
      <c r="D42" s="266" t="s">
        <v>200</v>
      </c>
      <c r="E42" s="267">
        <v>5</v>
      </c>
      <c r="F42" s="235" t="s">
        <v>192</v>
      </c>
      <c r="G42" s="268">
        <v>5</v>
      </c>
      <c r="H42" s="284">
        <v>230</v>
      </c>
      <c r="I42" s="55">
        <f t="shared" si="0"/>
        <v>192.09950625929579</v>
      </c>
      <c r="J42" s="270">
        <v>400</v>
      </c>
      <c r="K42" s="57">
        <f t="shared" si="1"/>
        <v>380</v>
      </c>
      <c r="L42" s="76">
        <v>180</v>
      </c>
      <c r="M42" s="231">
        <f t="shared" si="2"/>
        <v>176.4</v>
      </c>
      <c r="N42" s="285"/>
      <c r="O42" s="272"/>
      <c r="P42" s="234" t="s">
        <v>236</v>
      </c>
      <c r="Q42" s="235" t="s">
        <v>152</v>
      </c>
      <c r="R42" s="273" t="s">
        <v>236</v>
      </c>
      <c r="S42" s="273" t="s">
        <v>152</v>
      </c>
      <c r="T42" s="274" t="s">
        <v>239</v>
      </c>
      <c r="U42" s="275">
        <v>5</v>
      </c>
      <c r="V42" s="274" t="s">
        <v>192</v>
      </c>
      <c r="W42" s="9">
        <v>29</v>
      </c>
    </row>
    <row r="43" spans="1:23" ht="15.75">
      <c r="A43" s="50">
        <v>33</v>
      </c>
      <c r="B43" s="235" t="s">
        <v>240</v>
      </c>
      <c r="C43" s="266">
        <v>2375</v>
      </c>
      <c r="D43" s="266" t="s">
        <v>241</v>
      </c>
      <c r="E43" s="267">
        <v>1</v>
      </c>
      <c r="F43" s="235" t="s">
        <v>192</v>
      </c>
      <c r="G43" s="268">
        <v>1</v>
      </c>
      <c r="H43" s="284">
        <v>2800</v>
      </c>
      <c r="I43" s="55">
        <f t="shared" si="0"/>
        <v>2338.6026848957749</v>
      </c>
      <c r="J43" s="270">
        <v>2450</v>
      </c>
      <c r="K43" s="57">
        <f t="shared" si="1"/>
        <v>2327.5</v>
      </c>
      <c r="L43" s="76">
        <v>1950</v>
      </c>
      <c r="M43" s="231">
        <f t="shared" si="2"/>
        <v>1911</v>
      </c>
      <c r="N43" s="285"/>
      <c r="O43" s="272"/>
      <c r="P43" s="234" t="s">
        <v>236</v>
      </c>
      <c r="Q43" s="235" t="s">
        <v>140</v>
      </c>
      <c r="R43" s="273" t="s">
        <v>236</v>
      </c>
      <c r="S43" s="273" t="s">
        <v>140</v>
      </c>
      <c r="T43" s="274" t="s">
        <v>240</v>
      </c>
      <c r="U43" s="275">
        <v>2</v>
      </c>
      <c r="V43" s="274" t="s">
        <v>192</v>
      </c>
      <c r="W43" s="9">
        <v>30</v>
      </c>
    </row>
    <row r="44" spans="1:23" ht="15.75">
      <c r="A44" s="50">
        <v>34</v>
      </c>
      <c r="B44" s="235" t="s">
        <v>242</v>
      </c>
      <c r="C44" s="266"/>
      <c r="D44" s="266"/>
      <c r="E44" s="267">
        <v>4</v>
      </c>
      <c r="F44" s="235" t="s">
        <v>192</v>
      </c>
      <c r="G44" s="268">
        <v>4</v>
      </c>
      <c r="H44" s="284">
        <v>6500</v>
      </c>
      <c r="I44" s="55">
        <f t="shared" si="0"/>
        <v>5428.8990899366199</v>
      </c>
      <c r="J44" s="270">
        <v>6480</v>
      </c>
      <c r="K44" s="57">
        <f t="shared" si="1"/>
        <v>6156</v>
      </c>
      <c r="L44" s="76">
        <v>6000</v>
      </c>
      <c r="M44" s="231">
        <f t="shared" si="2"/>
        <v>5880</v>
      </c>
      <c r="N44" s="285"/>
      <c r="O44" s="272"/>
      <c r="P44" s="234" t="s">
        <v>236</v>
      </c>
      <c r="Q44" s="235" t="s">
        <v>202</v>
      </c>
      <c r="R44" s="273" t="s">
        <v>236</v>
      </c>
      <c r="S44" s="273" t="s">
        <v>202</v>
      </c>
      <c r="T44" s="274" t="s">
        <v>242</v>
      </c>
      <c r="U44" s="275">
        <v>4</v>
      </c>
      <c r="V44" s="274" t="s">
        <v>192</v>
      </c>
      <c r="W44" s="9">
        <v>31</v>
      </c>
    </row>
    <row r="45" spans="1:23" ht="15.75">
      <c r="A45" s="50">
        <v>35</v>
      </c>
      <c r="B45" s="235" t="s">
        <v>243</v>
      </c>
      <c r="C45" s="266"/>
      <c r="D45" s="266"/>
      <c r="E45" s="267">
        <v>3</v>
      </c>
      <c r="F45" s="235" t="s">
        <v>192</v>
      </c>
      <c r="G45" s="268">
        <v>3</v>
      </c>
      <c r="H45" s="284">
        <v>12800</v>
      </c>
      <c r="I45" s="55">
        <f t="shared" si="0"/>
        <v>10690.755130952113</v>
      </c>
      <c r="J45" s="270">
        <v>10000</v>
      </c>
      <c r="K45" s="57">
        <f t="shared" si="1"/>
        <v>9500</v>
      </c>
      <c r="L45" s="76">
        <v>8600</v>
      </c>
      <c r="M45" s="231">
        <f t="shared" si="2"/>
        <v>8428</v>
      </c>
      <c r="N45" s="285"/>
      <c r="O45" s="272"/>
      <c r="P45" s="234" t="s">
        <v>236</v>
      </c>
      <c r="Q45" s="235" t="s">
        <v>204</v>
      </c>
      <c r="R45" s="273" t="s">
        <v>236</v>
      </c>
      <c r="S45" s="273" t="s">
        <v>204</v>
      </c>
      <c r="T45" s="274" t="s">
        <v>243</v>
      </c>
      <c r="U45" s="275">
        <v>6</v>
      </c>
      <c r="V45" s="274" t="s">
        <v>192</v>
      </c>
      <c r="W45" s="9">
        <v>32</v>
      </c>
    </row>
    <row r="46" spans="1:23" ht="15.75">
      <c r="A46" s="50">
        <v>36</v>
      </c>
      <c r="B46" s="235" t="s">
        <v>244</v>
      </c>
      <c r="C46" s="266"/>
      <c r="D46" s="266"/>
      <c r="E46" s="267">
        <v>2</v>
      </c>
      <c r="F46" s="235" t="s">
        <v>192</v>
      </c>
      <c r="G46" s="268">
        <v>2</v>
      </c>
      <c r="H46" s="284">
        <v>16500</v>
      </c>
      <c r="I46" s="55">
        <f t="shared" si="0"/>
        <v>13781.05153599296</v>
      </c>
      <c r="J46" s="270">
        <v>14000</v>
      </c>
      <c r="K46" s="57">
        <f t="shared" si="1"/>
        <v>13300</v>
      </c>
      <c r="L46" s="76">
        <v>12500</v>
      </c>
      <c r="M46" s="231">
        <f t="shared" si="2"/>
        <v>12250</v>
      </c>
      <c r="N46" s="285"/>
      <c r="O46" s="272"/>
      <c r="P46" s="234" t="s">
        <v>236</v>
      </c>
      <c r="Q46" s="235" t="s">
        <v>206</v>
      </c>
      <c r="R46" s="273" t="s">
        <v>236</v>
      </c>
      <c r="S46" s="273" t="s">
        <v>206</v>
      </c>
      <c r="T46" s="274" t="s">
        <v>244</v>
      </c>
      <c r="U46" s="275">
        <v>2</v>
      </c>
      <c r="V46" s="274" t="s">
        <v>192</v>
      </c>
      <c r="W46" s="9">
        <v>33</v>
      </c>
    </row>
    <row r="47" spans="1:23" ht="15.75">
      <c r="A47" s="50">
        <v>37</v>
      </c>
      <c r="B47" s="235" t="s">
        <v>245</v>
      </c>
      <c r="C47" s="266"/>
      <c r="D47" s="266"/>
      <c r="E47" s="267">
        <v>2</v>
      </c>
      <c r="F47" s="235" t="s">
        <v>192</v>
      </c>
      <c r="G47" s="268">
        <v>2</v>
      </c>
      <c r="H47" s="284">
        <v>60</v>
      </c>
      <c r="I47" s="55">
        <f t="shared" si="0"/>
        <v>50.112914676338036</v>
      </c>
      <c r="J47" s="270">
        <v>170</v>
      </c>
      <c r="K47" s="57">
        <f t="shared" si="1"/>
        <v>161.5</v>
      </c>
      <c r="L47" s="76">
        <v>150</v>
      </c>
      <c r="M47" s="231">
        <f t="shared" si="2"/>
        <v>147</v>
      </c>
      <c r="N47" s="285"/>
      <c r="O47" s="272"/>
      <c r="P47" s="234" t="s">
        <v>236</v>
      </c>
      <c r="Q47" s="235" t="s">
        <v>209</v>
      </c>
      <c r="R47" s="273" t="s">
        <v>236</v>
      </c>
      <c r="S47" s="273" t="s">
        <v>209</v>
      </c>
      <c r="T47" s="274" t="s">
        <v>245</v>
      </c>
      <c r="U47" s="275">
        <v>2</v>
      </c>
      <c r="V47" s="274" t="s">
        <v>192</v>
      </c>
      <c r="W47" s="9">
        <v>34</v>
      </c>
    </row>
    <row r="48" spans="1:23" ht="15.75">
      <c r="A48" s="50">
        <v>38</v>
      </c>
      <c r="B48" s="235" t="s">
        <v>246</v>
      </c>
      <c r="C48" s="266"/>
      <c r="D48" s="266"/>
      <c r="E48" s="267">
        <v>2</v>
      </c>
      <c r="F48" s="235" t="s">
        <v>192</v>
      </c>
      <c r="G48" s="268">
        <v>3</v>
      </c>
      <c r="H48" s="284">
        <v>590</v>
      </c>
      <c r="I48" s="55">
        <f t="shared" si="0"/>
        <v>492.77699431732401</v>
      </c>
      <c r="J48" s="270">
        <v>600</v>
      </c>
      <c r="K48" s="57">
        <f t="shared" si="1"/>
        <v>570</v>
      </c>
      <c r="L48" s="76">
        <v>450</v>
      </c>
      <c r="M48" s="231">
        <f t="shared" si="2"/>
        <v>441</v>
      </c>
      <c r="N48" s="285"/>
      <c r="O48" s="272"/>
      <c r="P48" s="234" t="s">
        <v>236</v>
      </c>
      <c r="Q48" s="235" t="s">
        <v>212</v>
      </c>
      <c r="R48" s="273" t="s">
        <v>236</v>
      </c>
      <c r="S48" s="273" t="s">
        <v>212</v>
      </c>
      <c r="T48" s="274" t="s">
        <v>246</v>
      </c>
      <c r="U48" s="275">
        <v>3</v>
      </c>
      <c r="V48" s="274" t="s">
        <v>192</v>
      </c>
      <c r="W48" s="9">
        <v>35</v>
      </c>
    </row>
    <row r="49" spans="1:23" ht="15.75">
      <c r="A49" s="50">
        <v>39</v>
      </c>
      <c r="B49" s="235" t="s">
        <v>247</v>
      </c>
      <c r="C49" s="266"/>
      <c r="D49" s="266"/>
      <c r="E49" s="267">
        <v>1</v>
      </c>
      <c r="F49" s="235" t="s">
        <v>192</v>
      </c>
      <c r="G49" s="268">
        <v>1</v>
      </c>
      <c r="H49" s="284">
        <v>250</v>
      </c>
      <c r="I49" s="55">
        <f t="shared" si="0"/>
        <v>208.80381115140847</v>
      </c>
      <c r="J49" s="270">
        <v>600</v>
      </c>
      <c r="K49" s="57">
        <f t="shared" si="1"/>
        <v>570</v>
      </c>
      <c r="L49" s="76">
        <v>180</v>
      </c>
      <c r="M49" s="231">
        <f t="shared" si="2"/>
        <v>176.4</v>
      </c>
      <c r="N49" s="285"/>
      <c r="O49" s="272"/>
      <c r="P49" s="234" t="s">
        <v>236</v>
      </c>
      <c r="Q49" s="235" t="s">
        <v>214</v>
      </c>
      <c r="R49" s="273" t="s">
        <v>236</v>
      </c>
      <c r="S49" s="273" t="s">
        <v>214</v>
      </c>
      <c r="T49" s="274" t="s">
        <v>247</v>
      </c>
      <c r="U49" s="275">
        <v>1</v>
      </c>
      <c r="V49" s="274" t="s">
        <v>192</v>
      </c>
      <c r="W49" s="9">
        <v>36</v>
      </c>
    </row>
    <row r="50" spans="1:23" ht="15.75">
      <c r="A50" s="50">
        <v>40</v>
      </c>
      <c r="B50" s="235" t="s">
        <v>248</v>
      </c>
      <c r="C50" s="266"/>
      <c r="D50" s="266"/>
      <c r="E50" s="267">
        <v>3</v>
      </c>
      <c r="F50" s="235" t="s">
        <v>192</v>
      </c>
      <c r="G50" s="268">
        <v>3</v>
      </c>
      <c r="H50" s="284">
        <v>590</v>
      </c>
      <c r="I50" s="55">
        <f t="shared" si="0"/>
        <v>492.77699431732401</v>
      </c>
      <c r="J50" s="270">
        <v>550</v>
      </c>
      <c r="K50" s="57">
        <f t="shared" si="1"/>
        <v>522.5</v>
      </c>
      <c r="L50" s="76">
        <v>350</v>
      </c>
      <c r="M50" s="231">
        <f t="shared" si="2"/>
        <v>343</v>
      </c>
      <c r="N50" s="285"/>
      <c r="O50" s="272"/>
      <c r="P50" s="234" t="s">
        <v>236</v>
      </c>
      <c r="Q50" s="235" t="s">
        <v>216</v>
      </c>
      <c r="R50" s="273" t="s">
        <v>236</v>
      </c>
      <c r="S50" s="273" t="s">
        <v>216</v>
      </c>
      <c r="T50" s="274" t="s">
        <v>248</v>
      </c>
      <c r="U50" s="275">
        <v>3</v>
      </c>
      <c r="V50" s="274" t="s">
        <v>192</v>
      </c>
      <c r="W50" s="9">
        <v>37</v>
      </c>
    </row>
    <row r="51" spans="1:23" ht="15.75">
      <c r="A51" s="50">
        <v>41</v>
      </c>
      <c r="B51" s="235" t="s">
        <v>249</v>
      </c>
      <c r="C51" s="266"/>
      <c r="D51" s="266"/>
      <c r="E51" s="267">
        <v>1</v>
      </c>
      <c r="F51" s="235" t="s">
        <v>192</v>
      </c>
      <c r="G51" s="268">
        <v>2</v>
      </c>
      <c r="H51" s="284">
        <v>16500</v>
      </c>
      <c r="I51" s="55">
        <f t="shared" si="0"/>
        <v>13781.05153599296</v>
      </c>
      <c r="J51" s="270">
        <v>13500</v>
      </c>
      <c r="K51" s="57">
        <f t="shared" si="1"/>
        <v>12825</v>
      </c>
      <c r="L51" s="76">
        <v>10500</v>
      </c>
      <c r="M51" s="231">
        <f t="shared" si="2"/>
        <v>10290</v>
      </c>
      <c r="N51" s="285"/>
      <c r="O51" s="272"/>
      <c r="P51" s="234" t="s">
        <v>236</v>
      </c>
      <c r="Q51" s="235" t="s">
        <v>218</v>
      </c>
      <c r="R51" s="273" t="s">
        <v>236</v>
      </c>
      <c r="S51" s="273" t="s">
        <v>218</v>
      </c>
      <c r="T51" s="274" t="s">
        <v>249</v>
      </c>
      <c r="U51" s="275">
        <v>2</v>
      </c>
      <c r="V51" s="274" t="s">
        <v>192</v>
      </c>
      <c r="W51" s="9">
        <v>38</v>
      </c>
    </row>
    <row r="52" spans="1:23" ht="15.75">
      <c r="A52" s="50">
        <v>42</v>
      </c>
      <c r="B52" s="235" t="s">
        <v>250</v>
      </c>
      <c r="C52" s="266"/>
      <c r="D52" s="266"/>
      <c r="E52" s="267">
        <v>6</v>
      </c>
      <c r="F52" s="235" t="s">
        <v>192</v>
      </c>
      <c r="G52" s="268">
        <v>6</v>
      </c>
      <c r="H52" s="284">
        <v>16500</v>
      </c>
      <c r="I52" s="55">
        <f t="shared" si="0"/>
        <v>13781.05153599296</v>
      </c>
      <c r="J52" s="270">
        <v>13500</v>
      </c>
      <c r="K52" s="57">
        <f t="shared" si="1"/>
        <v>12825</v>
      </c>
      <c r="L52" s="76">
        <v>11500</v>
      </c>
      <c r="M52" s="231">
        <f t="shared" si="2"/>
        <v>11270</v>
      </c>
      <c r="N52" s="285"/>
      <c r="O52" s="272"/>
      <c r="P52" s="234" t="s">
        <v>236</v>
      </c>
      <c r="Q52" s="235" t="s">
        <v>220</v>
      </c>
      <c r="R52" s="273" t="s">
        <v>236</v>
      </c>
      <c r="S52" s="273" t="s">
        <v>220</v>
      </c>
      <c r="T52" s="274" t="s">
        <v>250</v>
      </c>
      <c r="U52" s="275">
        <v>6</v>
      </c>
      <c r="V52" s="274" t="s">
        <v>192</v>
      </c>
      <c r="W52" s="9">
        <v>39</v>
      </c>
    </row>
    <row r="53" spans="1:23" ht="15.75">
      <c r="A53" s="50">
        <v>44</v>
      </c>
      <c r="B53" s="235" t="s">
        <v>251</v>
      </c>
      <c r="C53" s="266"/>
      <c r="D53" s="266"/>
      <c r="E53" s="267">
        <v>2</v>
      </c>
      <c r="F53" s="235" t="s">
        <v>192</v>
      </c>
      <c r="G53" s="268">
        <v>2</v>
      </c>
      <c r="H53" s="284">
        <v>270</v>
      </c>
      <c r="I53" s="55">
        <f t="shared" si="0"/>
        <v>225.50811604352114</v>
      </c>
      <c r="J53" s="270">
        <v>150</v>
      </c>
      <c r="K53" s="57">
        <f t="shared" si="1"/>
        <v>142.5</v>
      </c>
      <c r="L53" s="76">
        <v>200</v>
      </c>
      <c r="M53" s="289">
        <v>194</v>
      </c>
      <c r="N53" s="285"/>
      <c r="O53" s="272"/>
      <c r="P53" s="234" t="s">
        <v>252</v>
      </c>
      <c r="Q53" s="235" t="s">
        <v>136</v>
      </c>
      <c r="R53" s="273" t="s">
        <v>252</v>
      </c>
      <c r="S53" s="273" t="s">
        <v>136</v>
      </c>
      <c r="T53" s="274" t="s">
        <v>251</v>
      </c>
      <c r="U53" s="275">
        <v>2</v>
      </c>
      <c r="V53" s="274" t="s">
        <v>192</v>
      </c>
      <c r="W53" s="9">
        <v>40</v>
      </c>
    </row>
    <row r="54" spans="1:23" ht="15.75">
      <c r="A54" s="50">
        <v>45</v>
      </c>
      <c r="B54" s="235" t="s">
        <v>253</v>
      </c>
      <c r="C54" s="266"/>
      <c r="D54" s="266"/>
      <c r="E54" s="267">
        <v>1</v>
      </c>
      <c r="F54" s="235" t="s">
        <v>192</v>
      </c>
      <c r="G54" s="268">
        <v>1</v>
      </c>
      <c r="H54" s="284">
        <v>450</v>
      </c>
      <c r="I54" s="55">
        <f t="shared" si="0"/>
        <v>375.84686007253526</v>
      </c>
      <c r="J54" s="270">
        <v>275</v>
      </c>
      <c r="K54" s="57">
        <f t="shared" si="1"/>
        <v>261.25</v>
      </c>
      <c r="L54" s="76">
        <v>450</v>
      </c>
      <c r="M54" s="285">
        <v>400</v>
      </c>
      <c r="N54" s="285"/>
      <c r="O54" s="272"/>
      <c r="P54" s="234" t="s">
        <v>252</v>
      </c>
      <c r="Q54" s="235" t="s">
        <v>147</v>
      </c>
      <c r="R54" s="273" t="s">
        <v>252</v>
      </c>
      <c r="S54" s="273" t="s">
        <v>147</v>
      </c>
      <c r="T54" s="274" t="s">
        <v>253</v>
      </c>
      <c r="U54" s="275">
        <v>1</v>
      </c>
      <c r="V54" s="274" t="s">
        <v>192</v>
      </c>
      <c r="W54" s="9">
        <v>41</v>
      </c>
    </row>
    <row r="55" spans="1:23" ht="15.75">
      <c r="A55" s="50">
        <v>46</v>
      </c>
      <c r="B55" s="235" t="s">
        <v>254</v>
      </c>
      <c r="C55" s="266"/>
      <c r="D55" s="266"/>
      <c r="E55" s="267">
        <v>43</v>
      </c>
      <c r="F55" s="235" t="s">
        <v>192</v>
      </c>
      <c r="G55" s="268">
        <v>43</v>
      </c>
      <c r="H55" s="284">
        <v>750</v>
      </c>
      <c r="I55" s="55">
        <f t="shared" si="0"/>
        <v>626.4114334542254</v>
      </c>
      <c r="J55" s="270">
        <v>550</v>
      </c>
      <c r="K55" s="57">
        <f t="shared" si="1"/>
        <v>522.5</v>
      </c>
      <c r="L55" s="76">
        <v>550</v>
      </c>
      <c r="M55" s="285">
        <v>533.5</v>
      </c>
      <c r="N55" s="285"/>
      <c r="O55" s="272"/>
      <c r="P55" s="234" t="s">
        <v>252</v>
      </c>
      <c r="Q55" s="235" t="s">
        <v>150</v>
      </c>
      <c r="R55" s="273" t="s">
        <v>252</v>
      </c>
      <c r="S55" s="273" t="s">
        <v>150</v>
      </c>
      <c r="T55" s="274" t="s">
        <v>254</v>
      </c>
      <c r="U55" s="275">
        <v>43</v>
      </c>
      <c r="V55" s="274" t="s">
        <v>192</v>
      </c>
      <c r="W55" s="9">
        <v>42</v>
      </c>
    </row>
    <row r="56" spans="1:23" ht="15.75">
      <c r="A56" s="50">
        <v>47</v>
      </c>
      <c r="B56" s="235" t="s">
        <v>255</v>
      </c>
      <c r="C56" s="266">
        <v>912</v>
      </c>
      <c r="D56" s="266" t="s">
        <v>200</v>
      </c>
      <c r="E56" s="267">
        <v>17</v>
      </c>
      <c r="F56" s="235" t="s">
        <v>192</v>
      </c>
      <c r="G56" s="268">
        <v>17</v>
      </c>
      <c r="H56" s="284">
        <v>1100</v>
      </c>
      <c r="I56" s="55">
        <f t="shared" si="0"/>
        <v>918.73676906619733</v>
      </c>
      <c r="J56" s="270">
        <v>925</v>
      </c>
      <c r="K56" s="57">
        <f t="shared" si="1"/>
        <v>878.75</v>
      </c>
      <c r="L56" s="76">
        <v>1050</v>
      </c>
      <c r="M56" s="285">
        <v>920</v>
      </c>
      <c r="N56" s="285"/>
      <c r="O56" s="272"/>
      <c r="P56" s="234" t="s">
        <v>252</v>
      </c>
      <c r="Q56" s="235" t="s">
        <v>152</v>
      </c>
      <c r="R56" s="273" t="s">
        <v>252</v>
      </c>
      <c r="S56" s="273" t="s">
        <v>152</v>
      </c>
      <c r="T56" s="274" t="s">
        <v>255</v>
      </c>
      <c r="U56" s="275">
        <v>17</v>
      </c>
      <c r="V56" s="274" t="s">
        <v>192</v>
      </c>
      <c r="W56" s="9">
        <v>43</v>
      </c>
    </row>
    <row r="57" spans="1:23" ht="15.75">
      <c r="A57" s="50">
        <v>48</v>
      </c>
      <c r="B57" s="235" t="s">
        <v>256</v>
      </c>
      <c r="C57" s="266"/>
      <c r="D57" s="266"/>
      <c r="E57" s="279">
        <v>0</v>
      </c>
      <c r="F57" s="288" t="s">
        <v>192</v>
      </c>
      <c r="G57" s="286">
        <v>0</v>
      </c>
      <c r="H57" s="284">
        <v>2600</v>
      </c>
      <c r="I57" s="55">
        <f t="shared" si="0"/>
        <v>2171.5596359746482</v>
      </c>
      <c r="J57" s="270">
        <v>2575</v>
      </c>
      <c r="K57" s="57">
        <f t="shared" si="1"/>
        <v>2446.25</v>
      </c>
      <c r="L57" s="76">
        <v>3000</v>
      </c>
      <c r="M57" s="290">
        <v>2400</v>
      </c>
      <c r="N57" s="285"/>
      <c r="O57" s="272"/>
      <c r="P57" s="234" t="s">
        <v>252</v>
      </c>
      <c r="Q57" s="235" t="s">
        <v>140</v>
      </c>
      <c r="R57" s="273" t="s">
        <v>252</v>
      </c>
      <c r="S57" s="273" t="s">
        <v>140</v>
      </c>
      <c r="T57" s="274" t="s">
        <v>256</v>
      </c>
      <c r="U57" s="275">
        <v>4</v>
      </c>
      <c r="V57" s="274" t="s">
        <v>192</v>
      </c>
      <c r="W57" s="9">
        <v>44</v>
      </c>
    </row>
    <row r="58" spans="1:23" ht="15.75">
      <c r="A58" s="50">
        <v>49</v>
      </c>
      <c r="B58" s="235" t="s">
        <v>257</v>
      </c>
      <c r="C58" s="266"/>
      <c r="D58" s="266"/>
      <c r="E58" s="267">
        <v>26</v>
      </c>
      <c r="F58" s="235" t="s">
        <v>192</v>
      </c>
      <c r="G58" s="268">
        <v>26</v>
      </c>
      <c r="H58" s="284">
        <v>20800</v>
      </c>
      <c r="I58" s="55">
        <f t="shared" si="0"/>
        <v>17372.477087797186</v>
      </c>
      <c r="J58" s="270">
        <v>17750</v>
      </c>
      <c r="K58" s="57">
        <f t="shared" si="1"/>
        <v>16862.5</v>
      </c>
      <c r="L58" s="76">
        <v>16800</v>
      </c>
      <c r="M58" s="285">
        <v>16296</v>
      </c>
      <c r="N58" s="285"/>
      <c r="O58" s="272"/>
      <c r="P58" s="234" t="s">
        <v>252</v>
      </c>
      <c r="Q58" s="235" t="s">
        <v>202</v>
      </c>
      <c r="R58" s="273" t="s">
        <v>252</v>
      </c>
      <c r="S58" s="273" t="s">
        <v>202</v>
      </c>
      <c r="T58" s="274" t="s">
        <v>257</v>
      </c>
      <c r="U58" s="275">
        <v>24</v>
      </c>
      <c r="V58" s="274" t="s">
        <v>192</v>
      </c>
      <c r="W58" s="9">
        <v>45</v>
      </c>
    </row>
    <row r="59" spans="1:23" ht="15.75">
      <c r="A59" s="50">
        <v>50</v>
      </c>
      <c r="B59" s="235" t="s">
        <v>258</v>
      </c>
      <c r="C59" s="266"/>
      <c r="D59" s="266"/>
      <c r="E59" s="267">
        <v>6</v>
      </c>
      <c r="F59" s="235" t="s">
        <v>192</v>
      </c>
      <c r="G59" s="268">
        <v>6</v>
      </c>
      <c r="H59" s="284">
        <v>6200</v>
      </c>
      <c r="I59" s="55">
        <f t="shared" si="0"/>
        <v>5178.3345165549299</v>
      </c>
      <c r="J59" s="270">
        <v>5750</v>
      </c>
      <c r="K59" s="57">
        <f t="shared" si="1"/>
        <v>5462.5</v>
      </c>
      <c r="L59" s="76">
        <v>6700</v>
      </c>
      <c r="M59" s="285">
        <v>5500</v>
      </c>
      <c r="N59" s="285"/>
      <c r="O59" s="272"/>
      <c r="P59" s="234" t="s">
        <v>252</v>
      </c>
      <c r="Q59" s="235" t="s">
        <v>204</v>
      </c>
      <c r="R59" s="273" t="s">
        <v>252</v>
      </c>
      <c r="S59" s="273" t="s">
        <v>204</v>
      </c>
      <c r="T59" s="274" t="s">
        <v>258</v>
      </c>
      <c r="U59" s="275">
        <v>6</v>
      </c>
      <c r="V59" s="274" t="s">
        <v>192</v>
      </c>
      <c r="W59" s="9">
        <v>46</v>
      </c>
    </row>
    <row r="60" spans="1:23" ht="15.75">
      <c r="A60" s="50">
        <v>51</v>
      </c>
      <c r="B60" s="235" t="s">
        <v>259</v>
      </c>
      <c r="C60" s="266">
        <v>1025</v>
      </c>
      <c r="D60" s="266" t="s">
        <v>260</v>
      </c>
      <c r="E60" s="267">
        <v>10</v>
      </c>
      <c r="F60" s="235" t="s">
        <v>192</v>
      </c>
      <c r="G60" s="268">
        <v>10</v>
      </c>
      <c r="H60" s="284">
        <v>1600</v>
      </c>
      <c r="I60" s="55">
        <f t="shared" si="0"/>
        <v>1336.3443913690141</v>
      </c>
      <c r="J60" s="270">
        <v>1500</v>
      </c>
      <c r="K60" s="57">
        <f t="shared" si="1"/>
        <v>1425</v>
      </c>
      <c r="L60" s="76">
        <v>1475</v>
      </c>
      <c r="M60" s="285">
        <v>1375</v>
      </c>
      <c r="N60" s="285"/>
      <c r="O60" s="272"/>
      <c r="P60" s="234" t="s">
        <v>261</v>
      </c>
      <c r="Q60" s="235" t="s">
        <v>136</v>
      </c>
      <c r="R60" s="273" t="s">
        <v>261</v>
      </c>
      <c r="S60" s="273" t="s">
        <v>136</v>
      </c>
      <c r="T60" s="274" t="s">
        <v>259</v>
      </c>
      <c r="U60" s="275">
        <v>10</v>
      </c>
      <c r="V60" s="274" t="s">
        <v>192</v>
      </c>
      <c r="W60" s="9">
        <v>47</v>
      </c>
    </row>
    <row r="61" spans="1:23" ht="15.75">
      <c r="A61" s="50">
        <v>52</v>
      </c>
      <c r="B61" s="235" t="s">
        <v>262</v>
      </c>
      <c r="C61" s="266">
        <v>2952</v>
      </c>
      <c r="D61" s="266" t="s">
        <v>260</v>
      </c>
      <c r="E61" s="267">
        <v>12</v>
      </c>
      <c r="F61" s="235" t="s">
        <v>192</v>
      </c>
      <c r="G61" s="268">
        <v>12</v>
      </c>
      <c r="H61" s="284">
        <v>4600</v>
      </c>
      <c r="I61" s="55">
        <f t="shared" si="0"/>
        <v>3841.990125185916</v>
      </c>
      <c r="J61" s="270">
        <v>4000</v>
      </c>
      <c r="K61" s="57">
        <f t="shared" si="1"/>
        <v>3800</v>
      </c>
      <c r="L61" s="76">
        <v>4500</v>
      </c>
      <c r="M61" s="285">
        <v>3850</v>
      </c>
      <c r="N61" s="285"/>
      <c r="O61" s="272"/>
      <c r="P61" s="234" t="s">
        <v>261</v>
      </c>
      <c r="Q61" s="235" t="s">
        <v>147</v>
      </c>
      <c r="R61" s="273" t="s">
        <v>261</v>
      </c>
      <c r="S61" s="273" t="s">
        <v>147</v>
      </c>
      <c r="T61" s="274" t="s">
        <v>262</v>
      </c>
      <c r="U61" s="275">
        <v>6</v>
      </c>
      <c r="V61" s="274" t="s">
        <v>192</v>
      </c>
      <c r="W61" s="9">
        <v>48</v>
      </c>
    </row>
    <row r="62" spans="1:23" ht="15.75">
      <c r="A62" s="50">
        <v>53</v>
      </c>
      <c r="B62" s="235" t="s">
        <v>263</v>
      </c>
      <c r="C62" s="266"/>
      <c r="D62" s="266"/>
      <c r="E62" s="267">
        <v>11</v>
      </c>
      <c r="F62" s="235" t="s">
        <v>192</v>
      </c>
      <c r="G62" s="268">
        <v>11</v>
      </c>
      <c r="H62" s="284">
        <v>9800</v>
      </c>
      <c r="I62" s="55">
        <f t="shared" si="0"/>
        <v>8185.109397135212</v>
      </c>
      <c r="J62" s="270">
        <v>8775</v>
      </c>
      <c r="K62" s="57">
        <f t="shared" si="1"/>
        <v>8336.25</v>
      </c>
      <c r="L62" s="76">
        <v>8600</v>
      </c>
      <c r="M62" s="285">
        <v>8342</v>
      </c>
      <c r="N62" s="285"/>
      <c r="O62" s="272"/>
      <c r="P62" s="234" t="s">
        <v>261</v>
      </c>
      <c r="Q62" s="235" t="s">
        <v>150</v>
      </c>
      <c r="R62" s="273" t="s">
        <v>261</v>
      </c>
      <c r="S62" s="273" t="s">
        <v>150</v>
      </c>
      <c r="T62" s="274" t="s">
        <v>263</v>
      </c>
      <c r="U62" s="275">
        <v>42</v>
      </c>
      <c r="V62" s="274" t="s">
        <v>192</v>
      </c>
      <c r="W62" s="9">
        <v>49</v>
      </c>
    </row>
    <row r="63" spans="1:23" ht="15.75">
      <c r="A63" s="50">
        <v>54</v>
      </c>
      <c r="B63" s="235" t="s">
        <v>264</v>
      </c>
      <c r="C63" s="266"/>
      <c r="D63" s="266"/>
      <c r="E63" s="267">
        <v>21</v>
      </c>
      <c r="F63" s="235" t="s">
        <v>192</v>
      </c>
      <c r="G63" s="268">
        <v>21</v>
      </c>
      <c r="H63" s="284">
        <v>18800</v>
      </c>
      <c r="I63" s="55">
        <f t="shared" si="0"/>
        <v>15702.046598585917</v>
      </c>
      <c r="J63" s="270">
        <v>16250</v>
      </c>
      <c r="K63" s="57">
        <f t="shared" si="1"/>
        <v>15437.5</v>
      </c>
      <c r="L63" s="76">
        <v>11000</v>
      </c>
      <c r="M63" s="285">
        <v>10670</v>
      </c>
      <c r="N63" s="285"/>
      <c r="O63" s="272"/>
      <c r="P63" s="234" t="s">
        <v>261</v>
      </c>
      <c r="Q63" s="235" t="s">
        <v>152</v>
      </c>
      <c r="R63" s="273" t="s">
        <v>261</v>
      </c>
      <c r="S63" s="273" t="s">
        <v>152</v>
      </c>
      <c r="T63" s="274" t="s">
        <v>264</v>
      </c>
      <c r="U63" s="275">
        <v>20</v>
      </c>
      <c r="V63" s="274" t="s">
        <v>192</v>
      </c>
      <c r="W63" s="9">
        <v>50</v>
      </c>
    </row>
    <row r="64" spans="1:23" ht="15">
      <c r="A64" s="50">
        <v>55</v>
      </c>
      <c r="B64" s="235" t="s">
        <v>265</v>
      </c>
      <c r="C64" s="266"/>
      <c r="D64" s="266"/>
      <c r="E64" s="267">
        <v>1</v>
      </c>
      <c r="F64" s="235" t="s">
        <v>192</v>
      </c>
      <c r="G64" s="268">
        <v>1</v>
      </c>
      <c r="H64" s="266">
        <v>9300</v>
      </c>
      <c r="I64" s="266">
        <v>9300</v>
      </c>
      <c r="J64" s="266">
        <v>10500</v>
      </c>
      <c r="K64" s="266">
        <f>J64</f>
        <v>10500</v>
      </c>
      <c r="L64" s="266">
        <v>14200</v>
      </c>
      <c r="M64" s="266">
        <v>10200</v>
      </c>
      <c r="N64" s="266"/>
      <c r="O64" s="266"/>
      <c r="P64" s="235" t="s">
        <v>266</v>
      </c>
      <c r="Q64" s="235" t="s">
        <v>136</v>
      </c>
      <c r="R64" s="273" t="s">
        <v>266</v>
      </c>
      <c r="S64" s="273" t="s">
        <v>136</v>
      </c>
      <c r="T64" s="274" t="s">
        <v>265</v>
      </c>
      <c r="U64" s="275">
        <v>1</v>
      </c>
      <c r="V64" s="274" t="s">
        <v>192</v>
      </c>
      <c r="W64" s="9">
        <v>51</v>
      </c>
    </row>
    <row r="65" spans="1:23" ht="15">
      <c r="A65" s="50"/>
      <c r="B65" s="274" t="s">
        <v>267</v>
      </c>
      <c r="C65" s="266"/>
      <c r="D65" s="266"/>
      <c r="E65" s="268">
        <v>2</v>
      </c>
      <c r="F65" s="274" t="s">
        <v>192</v>
      </c>
      <c r="G65" s="268">
        <v>2</v>
      </c>
      <c r="H65" s="266">
        <v>11800</v>
      </c>
      <c r="I65" s="55">
        <f>H65</f>
        <v>11800</v>
      </c>
      <c r="J65" s="266">
        <v>10000</v>
      </c>
      <c r="K65" s="266">
        <f>J65</f>
        <v>10000</v>
      </c>
      <c r="L65" s="266">
        <v>12000</v>
      </c>
      <c r="M65" s="231">
        <f>L65*0.97</f>
        <v>11640</v>
      </c>
      <c r="N65" s="266"/>
      <c r="O65" s="266"/>
      <c r="P65" s="274" t="s">
        <v>266</v>
      </c>
      <c r="Q65" s="274" t="s">
        <v>147</v>
      </c>
      <c r="R65" s="273" t="s">
        <v>266</v>
      </c>
      <c r="S65" s="273" t="s">
        <v>147</v>
      </c>
      <c r="T65" s="274" t="s">
        <v>267</v>
      </c>
      <c r="U65" s="275">
        <v>2</v>
      </c>
      <c r="V65" s="274" t="s">
        <v>192</v>
      </c>
      <c r="W65" s="9">
        <v>52</v>
      </c>
    </row>
    <row r="66" spans="1:23" ht="15">
      <c r="A66" s="50"/>
      <c r="B66" s="274" t="s">
        <v>268</v>
      </c>
      <c r="C66" s="266"/>
      <c r="D66" s="266"/>
      <c r="E66" s="268">
        <v>2</v>
      </c>
      <c r="F66" s="274" t="s">
        <v>192</v>
      </c>
      <c r="G66" s="268">
        <v>2</v>
      </c>
      <c r="H66" s="266">
        <v>5600</v>
      </c>
      <c r="I66" s="55">
        <f>H66</f>
        <v>5600</v>
      </c>
      <c r="J66" s="266">
        <v>5100</v>
      </c>
      <c r="K66" s="266">
        <f>J66</f>
        <v>5100</v>
      </c>
      <c r="L66" s="266">
        <v>3700</v>
      </c>
      <c r="M66" s="231">
        <f>L66*0.98</f>
        <v>3626</v>
      </c>
      <c r="N66" s="266"/>
      <c r="O66" s="266"/>
      <c r="P66" s="274" t="s">
        <v>266</v>
      </c>
      <c r="Q66" s="274" t="s">
        <v>140</v>
      </c>
      <c r="R66" s="273" t="s">
        <v>266</v>
      </c>
      <c r="S66" s="273" t="s">
        <v>140</v>
      </c>
      <c r="T66" s="274" t="s">
        <v>268</v>
      </c>
      <c r="U66" s="275">
        <v>2</v>
      </c>
      <c r="V66" s="274" t="s">
        <v>192</v>
      </c>
      <c r="W66" s="9">
        <v>53</v>
      </c>
    </row>
    <row r="67" spans="1:23" ht="15">
      <c r="A67" s="50"/>
      <c r="B67" s="274" t="s">
        <v>269</v>
      </c>
      <c r="C67" s="266"/>
      <c r="D67" s="266"/>
      <c r="E67" s="268">
        <v>6</v>
      </c>
      <c r="F67" s="274" t="s">
        <v>192</v>
      </c>
      <c r="G67" s="268">
        <v>6</v>
      </c>
      <c r="H67" s="266">
        <v>250</v>
      </c>
      <c r="I67" s="266">
        <v>250</v>
      </c>
      <c r="J67" s="266">
        <v>1275</v>
      </c>
      <c r="K67" s="266">
        <f>J67</f>
        <v>1275</v>
      </c>
      <c r="L67" s="266">
        <v>550</v>
      </c>
      <c r="M67" s="231">
        <f>L67*0.98</f>
        <v>539</v>
      </c>
      <c r="N67" s="266"/>
      <c r="O67" s="266"/>
      <c r="P67" s="274" t="s">
        <v>135</v>
      </c>
      <c r="Q67" s="274" t="s">
        <v>147</v>
      </c>
      <c r="R67" s="273" t="s">
        <v>135</v>
      </c>
      <c r="S67" s="273" t="s">
        <v>147</v>
      </c>
      <c r="T67" s="274" t="s">
        <v>269</v>
      </c>
      <c r="U67" s="275">
        <v>6</v>
      </c>
      <c r="V67" s="274" t="s">
        <v>192</v>
      </c>
      <c r="W67" s="9">
        <v>54</v>
      </c>
    </row>
    <row r="68" spans="1:23" ht="15">
      <c r="A68" s="50">
        <v>56</v>
      </c>
      <c r="B68" s="235" t="s">
        <v>270</v>
      </c>
      <c r="C68" s="266"/>
      <c r="D68" s="266"/>
      <c r="E68" s="267">
        <v>11</v>
      </c>
      <c r="F68" s="235" t="s">
        <v>192</v>
      </c>
      <c r="G68" s="268">
        <v>11</v>
      </c>
      <c r="H68" s="266">
        <v>28</v>
      </c>
      <c r="I68" s="266">
        <v>28</v>
      </c>
      <c r="J68" s="266">
        <v>50</v>
      </c>
      <c r="K68" s="266">
        <v>50</v>
      </c>
      <c r="L68" s="266">
        <v>30</v>
      </c>
      <c r="M68" s="266">
        <v>30</v>
      </c>
      <c r="N68" s="266"/>
      <c r="O68" s="266"/>
      <c r="P68" s="235" t="s">
        <v>139</v>
      </c>
      <c r="Q68" s="235" t="s">
        <v>136</v>
      </c>
      <c r="R68" s="273" t="s">
        <v>139</v>
      </c>
      <c r="S68" s="273" t="s">
        <v>136</v>
      </c>
      <c r="T68" s="274" t="s">
        <v>270</v>
      </c>
      <c r="U68" s="275">
        <v>11</v>
      </c>
      <c r="V68" s="274" t="s">
        <v>192</v>
      </c>
      <c r="W68" s="9">
        <v>55</v>
      </c>
    </row>
    <row r="69" spans="1:23" ht="15">
      <c r="A69" s="50">
        <v>57</v>
      </c>
      <c r="B69" s="235" t="s">
        <v>271</v>
      </c>
      <c r="C69" s="266"/>
      <c r="D69" s="266"/>
      <c r="E69" s="267">
        <v>9</v>
      </c>
      <c r="F69" s="235" t="s">
        <v>192</v>
      </c>
      <c r="G69" s="268">
        <v>9</v>
      </c>
      <c r="H69" s="266">
        <v>60</v>
      </c>
      <c r="I69" s="266">
        <v>60</v>
      </c>
      <c r="J69" s="266">
        <v>80</v>
      </c>
      <c r="K69" s="266">
        <v>80</v>
      </c>
      <c r="L69" s="266">
        <v>60</v>
      </c>
      <c r="M69" s="266">
        <v>60</v>
      </c>
      <c r="N69" s="266"/>
      <c r="O69" s="266"/>
      <c r="P69" s="235" t="s">
        <v>139</v>
      </c>
      <c r="Q69" s="235" t="s">
        <v>147</v>
      </c>
      <c r="R69" s="273" t="s">
        <v>139</v>
      </c>
      <c r="S69" s="273" t="s">
        <v>147</v>
      </c>
      <c r="T69" s="274" t="s">
        <v>271</v>
      </c>
      <c r="U69" s="275">
        <v>9</v>
      </c>
      <c r="V69" s="274" t="s">
        <v>192</v>
      </c>
      <c r="W69" s="9">
        <v>56</v>
      </c>
    </row>
    <row r="70" spans="1:23" ht="15">
      <c r="A70" s="50">
        <v>58</v>
      </c>
      <c r="B70" s="235" t="s">
        <v>272</v>
      </c>
      <c r="C70" s="266"/>
      <c r="D70" s="266"/>
      <c r="E70" s="267">
        <v>1</v>
      </c>
      <c r="F70" s="235" t="s">
        <v>192</v>
      </c>
      <c r="G70" s="268">
        <v>1</v>
      </c>
      <c r="H70" s="266">
        <v>95</v>
      </c>
      <c r="I70" s="266">
        <v>95</v>
      </c>
      <c r="J70" s="266">
        <v>145</v>
      </c>
      <c r="K70" s="266">
        <v>145</v>
      </c>
      <c r="L70" s="266">
        <v>120</v>
      </c>
      <c r="M70" s="266">
        <v>100</v>
      </c>
      <c r="N70" s="266"/>
      <c r="O70" s="266"/>
      <c r="P70" s="235" t="s">
        <v>139</v>
      </c>
      <c r="Q70" s="235" t="s">
        <v>150</v>
      </c>
      <c r="R70" s="273" t="s">
        <v>139</v>
      </c>
      <c r="S70" s="273" t="s">
        <v>150</v>
      </c>
      <c r="T70" s="274" t="s">
        <v>272</v>
      </c>
      <c r="U70" s="275">
        <v>1</v>
      </c>
      <c r="V70" s="274" t="s">
        <v>192</v>
      </c>
      <c r="W70" s="9">
        <v>57</v>
      </c>
    </row>
    <row r="71" spans="1:23" ht="15">
      <c r="A71" s="50">
        <v>59</v>
      </c>
      <c r="B71" s="235" t="s">
        <v>273</v>
      </c>
      <c r="C71" s="266"/>
      <c r="D71" s="266"/>
      <c r="E71" s="267">
        <v>1</v>
      </c>
      <c r="F71" s="235" t="s">
        <v>192</v>
      </c>
      <c r="G71" s="268">
        <v>1</v>
      </c>
      <c r="H71" s="266">
        <v>165</v>
      </c>
      <c r="I71" s="266">
        <v>165</v>
      </c>
      <c r="J71" s="266">
        <v>290</v>
      </c>
      <c r="K71" s="266">
        <v>290</v>
      </c>
      <c r="L71" s="266">
        <v>200</v>
      </c>
      <c r="M71" s="266">
        <v>180</v>
      </c>
      <c r="N71" s="266"/>
      <c r="O71" s="266"/>
      <c r="P71" s="235" t="s">
        <v>139</v>
      </c>
      <c r="Q71" s="235" t="s">
        <v>152</v>
      </c>
      <c r="R71" s="273" t="s">
        <v>139</v>
      </c>
      <c r="S71" s="273" t="s">
        <v>152</v>
      </c>
      <c r="T71" s="274" t="s">
        <v>273</v>
      </c>
      <c r="U71" s="275">
        <v>1</v>
      </c>
      <c r="V71" s="274" t="s">
        <v>192</v>
      </c>
      <c r="W71" s="9">
        <v>58</v>
      </c>
    </row>
    <row r="72" spans="1:23" ht="15">
      <c r="A72" s="50">
        <v>60</v>
      </c>
      <c r="B72" s="235" t="s">
        <v>274</v>
      </c>
      <c r="C72" s="266"/>
      <c r="D72" s="266"/>
      <c r="E72" s="267">
        <v>2</v>
      </c>
      <c r="F72" s="235" t="s">
        <v>192</v>
      </c>
      <c r="G72" s="268">
        <v>2</v>
      </c>
      <c r="H72" s="266">
        <v>8500</v>
      </c>
      <c r="I72" s="266">
        <v>8500</v>
      </c>
      <c r="J72" s="266">
        <v>7800</v>
      </c>
      <c r="K72" s="266">
        <v>7800</v>
      </c>
      <c r="L72" s="266">
        <v>10800</v>
      </c>
      <c r="M72" s="266">
        <v>8300</v>
      </c>
      <c r="N72" s="266"/>
      <c r="O72" s="266"/>
      <c r="P72" s="235" t="s">
        <v>139</v>
      </c>
      <c r="Q72" s="235" t="s">
        <v>202</v>
      </c>
      <c r="R72" s="273" t="s">
        <v>139</v>
      </c>
      <c r="S72" s="273" t="s">
        <v>202</v>
      </c>
      <c r="T72" s="274" t="s">
        <v>274</v>
      </c>
      <c r="U72" s="275">
        <v>2</v>
      </c>
      <c r="V72" s="274" t="s">
        <v>192</v>
      </c>
      <c r="W72" s="9">
        <v>59</v>
      </c>
    </row>
    <row r="73" spans="1:23" ht="15">
      <c r="A73" s="291">
        <v>61</v>
      </c>
      <c r="B73" s="292" t="s">
        <v>275</v>
      </c>
      <c r="C73" s="293"/>
      <c r="D73" s="293"/>
      <c r="E73" s="294">
        <v>3</v>
      </c>
      <c r="F73" s="292" t="s">
        <v>192</v>
      </c>
      <c r="G73" s="295">
        <v>3</v>
      </c>
      <c r="H73" s="293">
        <v>13500</v>
      </c>
      <c r="I73" s="293">
        <v>13500</v>
      </c>
      <c r="J73" s="293">
        <v>11250</v>
      </c>
      <c r="K73" s="293">
        <v>11250</v>
      </c>
      <c r="L73" s="293">
        <v>18100</v>
      </c>
      <c r="M73" s="293">
        <v>12800</v>
      </c>
      <c r="N73" s="266"/>
      <c r="O73" s="266"/>
      <c r="P73" s="292" t="s">
        <v>139</v>
      </c>
      <c r="Q73" s="292" t="s">
        <v>204</v>
      </c>
      <c r="R73" s="273" t="s">
        <v>139</v>
      </c>
      <c r="S73" s="273" t="s">
        <v>204</v>
      </c>
      <c r="T73" s="274" t="s">
        <v>275</v>
      </c>
      <c r="U73" s="275">
        <v>3</v>
      </c>
      <c r="V73" s="274" t="s">
        <v>192</v>
      </c>
      <c r="W73" s="9">
        <v>60</v>
      </c>
    </row>
    <row r="74" spans="1:23" ht="15">
      <c r="A74" s="296"/>
      <c r="B74" s="297" t="s">
        <v>213</v>
      </c>
      <c r="C74" s="266"/>
      <c r="D74" s="266"/>
      <c r="E74" s="298">
        <v>8</v>
      </c>
      <c r="F74" s="299" t="s">
        <v>192</v>
      </c>
      <c r="G74" s="300">
        <v>8</v>
      </c>
      <c r="H74" s="269">
        <v>1190</v>
      </c>
      <c r="I74" s="301">
        <f>H74*$H$6</f>
        <v>993.90614108070429</v>
      </c>
      <c r="J74" s="270">
        <v>1215</v>
      </c>
      <c r="K74" s="302">
        <f>J74*0.95</f>
        <v>1154.25</v>
      </c>
      <c r="L74" s="60">
        <v>900</v>
      </c>
      <c r="M74" s="60">
        <f>L74*0.98</f>
        <v>882</v>
      </c>
      <c r="N74" s="266"/>
      <c r="O74" s="266"/>
      <c r="P74" s="235" t="s">
        <v>276</v>
      </c>
      <c r="Q74" s="297" t="s">
        <v>136</v>
      </c>
      <c r="R74" s="303" t="s">
        <v>276</v>
      </c>
      <c r="S74" s="303" t="s">
        <v>136</v>
      </c>
      <c r="T74" s="304"/>
      <c r="U74" s="305"/>
      <c r="V74" s="304"/>
      <c r="W74" s="9">
        <v>61</v>
      </c>
    </row>
    <row r="75" spans="1:23" ht="15.75">
      <c r="A75" s="296"/>
      <c r="B75" s="297" t="s">
        <v>215</v>
      </c>
      <c r="C75" s="266"/>
      <c r="D75" s="266"/>
      <c r="E75" s="298">
        <v>8</v>
      </c>
      <c r="F75" s="299" t="s">
        <v>192</v>
      </c>
      <c r="G75" s="300">
        <v>8</v>
      </c>
      <c r="H75" s="284">
        <v>2650</v>
      </c>
      <c r="I75" s="301">
        <f>H75*$H$6</f>
        <v>2213.3203982049299</v>
      </c>
      <c r="J75" s="270">
        <v>2295</v>
      </c>
      <c r="K75" s="302">
        <f>J75*0.95</f>
        <v>2180.25</v>
      </c>
      <c r="L75" s="60">
        <v>1500</v>
      </c>
      <c r="M75" s="60">
        <f>L75*0.98</f>
        <v>1470</v>
      </c>
      <c r="N75" s="266"/>
      <c r="O75" s="266"/>
      <c r="P75" s="235" t="s">
        <v>276</v>
      </c>
      <c r="Q75" s="297" t="s">
        <v>147</v>
      </c>
      <c r="R75" s="303" t="s">
        <v>276</v>
      </c>
      <c r="S75" s="303" t="s">
        <v>147</v>
      </c>
      <c r="T75" s="304"/>
      <c r="U75" s="305"/>
      <c r="V75" s="304"/>
      <c r="W75" s="9">
        <v>62</v>
      </c>
    </row>
    <row r="76" spans="1:23" ht="25.5">
      <c r="A76" s="306"/>
      <c r="B76" s="307" t="s">
        <v>277</v>
      </c>
      <c r="C76" s="308"/>
      <c r="D76" s="308"/>
      <c r="E76" s="309"/>
      <c r="F76" s="308"/>
      <c r="H76" s="308"/>
      <c r="I76" s="308"/>
      <c r="J76" s="308"/>
      <c r="K76" s="308"/>
      <c r="L76" s="308"/>
      <c r="M76" s="308"/>
      <c r="N76" s="266"/>
      <c r="O76" s="266"/>
      <c r="P76" s="311"/>
      <c r="Q76" s="292"/>
    </row>
    <row r="77" spans="1:23" ht="15">
      <c r="A77" s="50">
        <v>63</v>
      </c>
      <c r="B77" s="297" t="s">
        <v>194</v>
      </c>
      <c r="C77" s="266"/>
      <c r="D77" s="266"/>
      <c r="E77" s="300">
        <v>1</v>
      </c>
      <c r="F77" s="299" t="s">
        <v>192</v>
      </c>
      <c r="G77" s="268">
        <v>1</v>
      </c>
      <c r="H77" s="269">
        <v>330</v>
      </c>
      <c r="I77" s="55">
        <f t="shared" ref="I77:I88" si="3">H77*$H$6</f>
        <v>275.62103071985916</v>
      </c>
      <c r="J77" s="270">
        <v>300</v>
      </c>
      <c r="K77" s="57">
        <f t="shared" ref="K77:K88" si="4">J77*0.95</f>
        <v>285</v>
      </c>
      <c r="L77" s="76">
        <v>200</v>
      </c>
      <c r="M77" s="231">
        <f t="shared" ref="M77:M88" si="5">L77*0.98</f>
        <v>196</v>
      </c>
      <c r="N77" s="266"/>
      <c r="O77" s="266"/>
      <c r="P77" s="234" t="s">
        <v>278</v>
      </c>
      <c r="Q77" s="235" t="s">
        <v>136</v>
      </c>
      <c r="R77" s="274" t="s">
        <v>278</v>
      </c>
      <c r="S77" s="274" t="s">
        <v>136</v>
      </c>
      <c r="T77" s="274" t="s">
        <v>194</v>
      </c>
      <c r="U77" s="275">
        <v>1</v>
      </c>
      <c r="V77" s="274" t="s">
        <v>192</v>
      </c>
    </row>
    <row r="78" spans="1:23" ht="15">
      <c r="A78" s="50">
        <v>64</v>
      </c>
      <c r="B78" s="297" t="s">
        <v>201</v>
      </c>
      <c r="C78" s="266"/>
      <c r="D78" s="266"/>
      <c r="E78" s="300">
        <v>1</v>
      </c>
      <c r="F78" s="299" t="s">
        <v>192</v>
      </c>
      <c r="G78" s="268">
        <v>1</v>
      </c>
      <c r="H78" s="269">
        <v>105</v>
      </c>
      <c r="I78" s="55">
        <f t="shared" si="3"/>
        <v>87.69760068359156</v>
      </c>
      <c r="J78" s="270">
        <v>115</v>
      </c>
      <c r="K78" s="57">
        <f t="shared" si="4"/>
        <v>109.25</v>
      </c>
      <c r="L78" s="76">
        <v>80</v>
      </c>
      <c r="M78" s="231">
        <f t="shared" si="5"/>
        <v>78.400000000000006</v>
      </c>
      <c r="N78" s="266"/>
      <c r="O78" s="266"/>
      <c r="P78" s="234" t="s">
        <v>278</v>
      </c>
      <c r="Q78" s="235" t="s">
        <v>147</v>
      </c>
      <c r="R78" s="274" t="s">
        <v>278</v>
      </c>
      <c r="S78" s="274" t="s">
        <v>147</v>
      </c>
      <c r="T78" s="274" t="s">
        <v>201</v>
      </c>
      <c r="U78" s="275">
        <v>1</v>
      </c>
      <c r="V78" s="274" t="s">
        <v>192</v>
      </c>
    </row>
    <row r="79" spans="1:23" ht="15">
      <c r="A79" s="50">
        <v>65</v>
      </c>
      <c r="B79" s="297" t="s">
        <v>203</v>
      </c>
      <c r="C79" s="266"/>
      <c r="D79" s="266"/>
      <c r="E79" s="300">
        <v>1</v>
      </c>
      <c r="F79" s="299" t="s">
        <v>192</v>
      </c>
      <c r="G79" s="268">
        <v>1</v>
      </c>
      <c r="H79" s="269">
        <v>230</v>
      </c>
      <c r="I79" s="55">
        <f t="shared" si="3"/>
        <v>192.09950625929579</v>
      </c>
      <c r="J79" s="270">
        <v>270</v>
      </c>
      <c r="K79" s="57">
        <f t="shared" si="4"/>
        <v>256.5</v>
      </c>
      <c r="L79" s="76">
        <v>210</v>
      </c>
      <c r="M79" s="231">
        <f t="shared" si="5"/>
        <v>205.79999999999998</v>
      </c>
      <c r="N79" s="266"/>
      <c r="O79" s="266"/>
      <c r="P79" s="234" t="s">
        <v>278</v>
      </c>
      <c r="Q79" s="235" t="s">
        <v>150</v>
      </c>
      <c r="R79" s="274" t="s">
        <v>278</v>
      </c>
      <c r="S79" s="274" t="s">
        <v>150</v>
      </c>
      <c r="T79" s="274" t="s">
        <v>203</v>
      </c>
      <c r="U79" s="275">
        <v>1</v>
      </c>
      <c r="V79" s="274" t="s">
        <v>192</v>
      </c>
    </row>
    <row r="80" spans="1:23" ht="15">
      <c r="A80" s="50">
        <v>66</v>
      </c>
      <c r="B80" s="297" t="s">
        <v>210</v>
      </c>
      <c r="C80" s="266"/>
      <c r="D80" s="266"/>
      <c r="E80" s="300">
        <v>1</v>
      </c>
      <c r="F80" s="299" t="s">
        <v>192</v>
      </c>
      <c r="G80" s="268">
        <v>1</v>
      </c>
      <c r="H80" s="269">
        <v>270</v>
      </c>
      <c r="I80" s="55">
        <f t="shared" si="3"/>
        <v>225.50811604352114</v>
      </c>
      <c r="J80" s="270">
        <v>295</v>
      </c>
      <c r="K80" s="57">
        <f t="shared" si="4"/>
        <v>280.25</v>
      </c>
      <c r="L80" s="76">
        <v>210</v>
      </c>
      <c r="M80" s="231">
        <f t="shared" si="5"/>
        <v>205.79999999999998</v>
      </c>
      <c r="N80" s="266"/>
      <c r="O80" s="266"/>
      <c r="P80" s="234" t="s">
        <v>278</v>
      </c>
      <c r="Q80" s="235" t="s">
        <v>152</v>
      </c>
      <c r="R80" s="274" t="s">
        <v>278</v>
      </c>
      <c r="S80" s="274" t="s">
        <v>152</v>
      </c>
      <c r="T80" s="274" t="s">
        <v>210</v>
      </c>
      <c r="U80" s="275">
        <v>1</v>
      </c>
      <c r="V80" s="274" t="s">
        <v>192</v>
      </c>
    </row>
    <row r="81" spans="1:22" ht="15">
      <c r="A81" s="50">
        <v>67</v>
      </c>
      <c r="B81" s="297" t="s">
        <v>213</v>
      </c>
      <c r="C81" s="266"/>
      <c r="D81" s="266"/>
      <c r="E81" s="300">
        <v>1</v>
      </c>
      <c r="F81" s="299" t="s">
        <v>192</v>
      </c>
      <c r="G81" s="268">
        <v>1</v>
      </c>
      <c r="H81" s="269">
        <v>1190</v>
      </c>
      <c r="I81" s="55">
        <f t="shared" si="3"/>
        <v>993.90614108070429</v>
      </c>
      <c r="J81" s="270">
        <v>1215</v>
      </c>
      <c r="K81" s="57">
        <f t="shared" si="4"/>
        <v>1154.25</v>
      </c>
      <c r="L81" s="76">
        <v>900</v>
      </c>
      <c r="M81" s="231">
        <f t="shared" si="5"/>
        <v>882</v>
      </c>
      <c r="N81" s="266"/>
      <c r="O81" s="266"/>
      <c r="P81" s="234" t="s">
        <v>278</v>
      </c>
      <c r="Q81" s="235" t="s">
        <v>140</v>
      </c>
      <c r="R81" s="274" t="s">
        <v>278</v>
      </c>
      <c r="S81" s="274" t="s">
        <v>140</v>
      </c>
      <c r="T81" s="274" t="s">
        <v>213</v>
      </c>
      <c r="U81" s="275">
        <v>1</v>
      </c>
      <c r="V81" s="274" t="s">
        <v>192</v>
      </c>
    </row>
    <row r="82" spans="1:22" ht="15.75">
      <c r="A82" s="50">
        <v>68</v>
      </c>
      <c r="B82" s="297" t="s">
        <v>215</v>
      </c>
      <c r="C82" s="266"/>
      <c r="D82" s="266"/>
      <c r="E82" s="300">
        <v>1</v>
      </c>
      <c r="F82" s="299" t="s">
        <v>192</v>
      </c>
      <c r="G82" s="268">
        <v>1</v>
      </c>
      <c r="H82" s="284">
        <v>2650</v>
      </c>
      <c r="I82" s="55">
        <f t="shared" si="3"/>
        <v>2213.3203982049299</v>
      </c>
      <c r="J82" s="270">
        <v>2295</v>
      </c>
      <c r="K82" s="57">
        <f t="shared" si="4"/>
        <v>2180.25</v>
      </c>
      <c r="L82" s="76">
        <v>1500</v>
      </c>
      <c r="M82" s="231">
        <f t="shared" si="5"/>
        <v>1470</v>
      </c>
      <c r="N82" s="266"/>
      <c r="O82" s="266"/>
      <c r="P82" s="234" t="s">
        <v>278</v>
      </c>
      <c r="Q82" s="235" t="s">
        <v>202</v>
      </c>
      <c r="R82" s="274" t="s">
        <v>278</v>
      </c>
      <c r="S82" s="274" t="s">
        <v>202</v>
      </c>
      <c r="T82" s="274" t="s">
        <v>215</v>
      </c>
      <c r="U82" s="275">
        <v>1</v>
      </c>
      <c r="V82" s="274" t="s">
        <v>192</v>
      </c>
    </row>
    <row r="83" spans="1:22" ht="15.75">
      <c r="A83" s="50">
        <v>69</v>
      </c>
      <c r="B83" s="297" t="s">
        <v>227</v>
      </c>
      <c r="C83" s="266"/>
      <c r="D83" s="266"/>
      <c r="E83" s="300">
        <v>1</v>
      </c>
      <c r="F83" s="299" t="s">
        <v>192</v>
      </c>
      <c r="G83" s="268">
        <v>1</v>
      </c>
      <c r="H83" s="284">
        <v>4500</v>
      </c>
      <c r="I83" s="55">
        <f t="shared" si="3"/>
        <v>3758.4686007253526</v>
      </c>
      <c r="J83" s="270">
        <v>4750</v>
      </c>
      <c r="K83" s="57">
        <f t="shared" si="4"/>
        <v>4512.5</v>
      </c>
      <c r="L83" s="76">
        <v>2800</v>
      </c>
      <c r="M83" s="231">
        <f t="shared" si="5"/>
        <v>2744</v>
      </c>
      <c r="N83" s="266"/>
      <c r="O83" s="266"/>
      <c r="P83" s="234" t="s">
        <v>278</v>
      </c>
      <c r="Q83" s="235" t="s">
        <v>204</v>
      </c>
      <c r="R83" s="274" t="s">
        <v>278</v>
      </c>
      <c r="S83" s="274" t="s">
        <v>204</v>
      </c>
      <c r="T83" s="274" t="s">
        <v>227</v>
      </c>
      <c r="U83" s="275">
        <v>1</v>
      </c>
      <c r="V83" s="274" t="s">
        <v>192</v>
      </c>
    </row>
    <row r="84" spans="1:22" ht="15.75">
      <c r="A84" s="50">
        <v>70</v>
      </c>
      <c r="B84" s="297" t="s">
        <v>229</v>
      </c>
      <c r="C84" s="266"/>
      <c r="D84" s="266"/>
      <c r="E84" s="300">
        <v>1</v>
      </c>
      <c r="F84" s="299" t="s">
        <v>192</v>
      </c>
      <c r="G84" s="268">
        <v>1</v>
      </c>
      <c r="H84" s="284">
        <v>8500</v>
      </c>
      <c r="I84" s="55">
        <f t="shared" si="3"/>
        <v>7099.3295791478886</v>
      </c>
      <c r="J84" s="270">
        <v>6075</v>
      </c>
      <c r="K84" s="57">
        <f t="shared" si="4"/>
        <v>5771.25</v>
      </c>
      <c r="L84" s="76">
        <v>4800</v>
      </c>
      <c r="M84" s="231">
        <f t="shared" si="5"/>
        <v>4704</v>
      </c>
      <c r="N84" s="266"/>
      <c r="O84" s="266"/>
      <c r="P84" s="234" t="s">
        <v>278</v>
      </c>
      <c r="Q84" s="235" t="s">
        <v>206</v>
      </c>
      <c r="R84" s="274" t="s">
        <v>278</v>
      </c>
      <c r="S84" s="274" t="s">
        <v>206</v>
      </c>
      <c r="T84" s="274" t="s">
        <v>229</v>
      </c>
      <c r="U84" s="275">
        <v>1</v>
      </c>
      <c r="V84" s="274" t="s">
        <v>192</v>
      </c>
    </row>
    <row r="85" spans="1:22" ht="15.75">
      <c r="A85" s="50">
        <v>71</v>
      </c>
      <c r="B85" s="297" t="s">
        <v>230</v>
      </c>
      <c r="C85" s="266"/>
      <c r="D85" s="266"/>
      <c r="E85" s="300">
        <v>1</v>
      </c>
      <c r="F85" s="299" t="s">
        <v>192</v>
      </c>
      <c r="G85" s="268">
        <v>1</v>
      </c>
      <c r="H85" s="284">
        <v>85</v>
      </c>
      <c r="I85" s="55">
        <f t="shared" si="3"/>
        <v>70.993295791478886</v>
      </c>
      <c r="J85" s="270">
        <v>100</v>
      </c>
      <c r="K85" s="57">
        <f t="shared" si="4"/>
        <v>95</v>
      </c>
      <c r="L85" s="76">
        <v>50</v>
      </c>
      <c r="M85" s="231">
        <f t="shared" si="5"/>
        <v>49</v>
      </c>
      <c r="N85" s="266"/>
      <c r="O85" s="266"/>
      <c r="P85" s="234" t="s">
        <v>278</v>
      </c>
      <c r="Q85" s="235" t="s">
        <v>209</v>
      </c>
      <c r="R85" s="274" t="s">
        <v>278</v>
      </c>
      <c r="S85" s="274" t="s">
        <v>209</v>
      </c>
      <c r="T85" s="274" t="s">
        <v>230</v>
      </c>
      <c r="U85" s="275">
        <v>1</v>
      </c>
      <c r="V85" s="274" t="s">
        <v>192</v>
      </c>
    </row>
    <row r="86" spans="1:22" ht="15.75">
      <c r="A86" s="50">
        <v>72</v>
      </c>
      <c r="B86" s="297" t="s">
        <v>231</v>
      </c>
      <c r="C86" s="266"/>
      <c r="D86" s="266"/>
      <c r="E86" s="300">
        <v>1</v>
      </c>
      <c r="F86" s="299" t="s">
        <v>192</v>
      </c>
      <c r="G86" s="268">
        <v>1</v>
      </c>
      <c r="H86" s="284">
        <v>2900</v>
      </c>
      <c r="I86" s="55">
        <f t="shared" si="3"/>
        <v>2422.1242093563383</v>
      </c>
      <c r="J86" s="270">
        <v>2700</v>
      </c>
      <c r="K86" s="57">
        <f t="shared" si="4"/>
        <v>2565</v>
      </c>
      <c r="L86" s="76">
        <v>1800</v>
      </c>
      <c r="M86" s="231">
        <f t="shared" si="5"/>
        <v>1764</v>
      </c>
      <c r="N86" s="266"/>
      <c r="O86" s="266"/>
      <c r="P86" s="234" t="s">
        <v>278</v>
      </c>
      <c r="Q86" s="235" t="s">
        <v>212</v>
      </c>
      <c r="R86" s="274" t="s">
        <v>278</v>
      </c>
      <c r="S86" s="274" t="s">
        <v>212</v>
      </c>
      <c r="T86" s="274" t="s">
        <v>231</v>
      </c>
      <c r="U86" s="275">
        <v>1</v>
      </c>
      <c r="V86" s="274" t="s">
        <v>192</v>
      </c>
    </row>
    <row r="87" spans="1:22" ht="15.75">
      <c r="A87" s="50">
        <v>73</v>
      </c>
      <c r="B87" s="297" t="s">
        <v>217</v>
      </c>
      <c r="C87" s="266"/>
      <c r="D87" s="266"/>
      <c r="E87" s="300">
        <v>1</v>
      </c>
      <c r="F87" s="299" t="s">
        <v>192</v>
      </c>
      <c r="G87" s="268">
        <v>1</v>
      </c>
      <c r="H87" s="284">
        <v>4500</v>
      </c>
      <c r="I87" s="55">
        <f t="shared" si="3"/>
        <v>3758.4686007253526</v>
      </c>
      <c r="J87" s="270">
        <v>3900</v>
      </c>
      <c r="K87" s="57">
        <f t="shared" si="4"/>
        <v>3705</v>
      </c>
      <c r="L87" s="76">
        <v>3100</v>
      </c>
      <c r="M87" s="231">
        <f t="shared" si="5"/>
        <v>3038</v>
      </c>
      <c r="N87" s="266"/>
      <c r="O87" s="266"/>
      <c r="P87" s="234" t="s">
        <v>278</v>
      </c>
      <c r="Q87" s="235" t="s">
        <v>214</v>
      </c>
      <c r="R87" s="274" t="s">
        <v>278</v>
      </c>
      <c r="S87" s="274" t="s">
        <v>214</v>
      </c>
      <c r="T87" s="274" t="s">
        <v>217</v>
      </c>
      <c r="U87" s="275">
        <v>1</v>
      </c>
      <c r="V87" s="274" t="s">
        <v>192</v>
      </c>
    </row>
    <row r="88" spans="1:22" ht="15">
      <c r="A88" s="50">
        <v>74</v>
      </c>
      <c r="B88" s="297" t="s">
        <v>199</v>
      </c>
      <c r="C88" s="266"/>
      <c r="D88" s="266"/>
      <c r="E88" s="300">
        <v>1</v>
      </c>
      <c r="F88" s="299" t="s">
        <v>192</v>
      </c>
      <c r="G88" s="268">
        <v>1</v>
      </c>
      <c r="H88" s="269">
        <v>65</v>
      </c>
      <c r="I88" s="55">
        <f t="shared" si="3"/>
        <v>54.288990899366205</v>
      </c>
      <c r="J88" s="270">
        <v>60</v>
      </c>
      <c r="K88" s="57">
        <f t="shared" si="4"/>
        <v>57</v>
      </c>
      <c r="L88" s="76">
        <v>55</v>
      </c>
      <c r="M88" s="231">
        <f t="shared" si="5"/>
        <v>53.9</v>
      </c>
      <c r="N88" s="266"/>
      <c r="O88" s="266"/>
      <c r="P88" s="235" t="s">
        <v>278</v>
      </c>
      <c r="Q88" s="235" t="s">
        <v>216</v>
      </c>
      <c r="R88" s="274" t="s">
        <v>278</v>
      </c>
      <c r="S88" s="274" t="s">
        <v>216</v>
      </c>
      <c r="T88" s="274" t="s">
        <v>199</v>
      </c>
      <c r="U88" s="275">
        <v>1</v>
      </c>
      <c r="V88" s="274" t="s">
        <v>192</v>
      </c>
    </row>
    <row r="89" spans="1:22" ht="13.5" thickBot="1">
      <c r="A89" s="77"/>
      <c r="B89" s="78"/>
      <c r="C89" s="79"/>
      <c r="D89" s="312"/>
      <c r="E89" s="313"/>
      <c r="F89" s="80"/>
      <c r="G89" s="313"/>
      <c r="H89" s="82"/>
      <c r="I89" s="83"/>
      <c r="J89" s="84"/>
      <c r="K89" s="85"/>
      <c r="L89" s="248"/>
      <c r="M89" s="249"/>
      <c r="N89" s="248"/>
      <c r="O89" s="89"/>
      <c r="P89" s="87"/>
      <c r="Q89" s="89"/>
    </row>
    <row r="90" spans="1:22" s="7" customFormat="1" ht="13.5" thickBot="1">
      <c r="A90" s="90" t="s">
        <v>58</v>
      </c>
      <c r="B90" s="91"/>
      <c r="C90" s="92"/>
      <c r="D90" s="93"/>
      <c r="E90" s="314">
        <f>SUM(E14:E89)</f>
        <v>554</v>
      </c>
      <c r="F90" s="93"/>
      <c r="G90" s="314">
        <f>SUM(G14:G89)</f>
        <v>540</v>
      </c>
      <c r="H90" s="95">
        <f>SUMPRODUCT(H13:H89, $G$13:$G$89)</f>
        <v>2833123</v>
      </c>
      <c r="I90" s="95">
        <f>SUMPRODUCT(I14:I89, $G$14:$G$89)</f>
        <v>2383439.4092329838</v>
      </c>
      <c r="J90" s="95">
        <f>SUMPRODUCT(J13:J89, $G$13:$G$89)</f>
        <v>2459425</v>
      </c>
      <c r="K90" s="95">
        <f>SUMPRODUCT(K13:K89, $G$13:$G$89)</f>
        <v>2341424</v>
      </c>
      <c r="L90" s="95">
        <f>SUMPRODUCT(L13:L89, $G$13:$G$89)</f>
        <v>2180405</v>
      </c>
      <c r="M90" s="95">
        <f>SUMPRODUCT(M13:M89, $G$13:$G$89)</f>
        <v>2089863.2</v>
      </c>
      <c r="N90" s="95"/>
      <c r="O90" s="95"/>
      <c r="P90" s="95"/>
      <c r="Q90" s="96"/>
    </row>
    <row r="91" spans="1:22">
      <c r="A91" s="1860" t="s">
        <v>59</v>
      </c>
      <c r="B91" s="1861"/>
      <c r="C91" s="97"/>
      <c r="D91" s="97"/>
      <c r="E91" s="315"/>
      <c r="F91" s="97"/>
      <c r="G91" s="315"/>
      <c r="H91" s="99"/>
      <c r="I91" s="100"/>
      <c r="J91" s="101"/>
      <c r="K91" s="99"/>
      <c r="L91" s="99"/>
      <c r="M91" s="100"/>
      <c r="N91" s="347">
        <f>I90-M90</f>
        <v>293576.20923298388</v>
      </c>
      <c r="O91" s="100"/>
      <c r="P91" s="99"/>
      <c r="Q91" s="99"/>
    </row>
    <row r="92" spans="1:22">
      <c r="A92" s="102" t="s">
        <v>60</v>
      </c>
      <c r="B92" s="103"/>
      <c r="C92" s="97"/>
      <c r="D92" s="97"/>
      <c r="E92" s="315"/>
      <c r="F92" s="97"/>
      <c r="G92" s="315"/>
      <c r="H92" s="104"/>
      <c r="I92" s="105" t="s">
        <v>61</v>
      </c>
      <c r="J92" s="106"/>
      <c r="K92" s="104" t="s">
        <v>61</v>
      </c>
      <c r="L92" s="104"/>
      <c r="M92" s="105" t="s">
        <v>61</v>
      </c>
      <c r="N92" s="348">
        <f>1-(M90/I90)</f>
        <v>0.1231733469270192</v>
      </c>
      <c r="O92" s="105"/>
      <c r="P92" s="104"/>
      <c r="Q92" s="104"/>
    </row>
    <row r="93" spans="1:22">
      <c r="A93" s="1862" t="s">
        <v>62</v>
      </c>
      <c r="B93" s="1863"/>
      <c r="C93" s="97"/>
      <c r="D93" s="97"/>
      <c r="E93" s="315"/>
      <c r="F93" s="97"/>
      <c r="G93" s="315"/>
      <c r="H93" s="104"/>
      <c r="I93" s="105"/>
      <c r="J93" s="106"/>
      <c r="K93" s="104"/>
      <c r="L93" s="104"/>
      <c r="M93" s="105"/>
      <c r="N93" s="104"/>
      <c r="O93" s="105"/>
      <c r="P93" s="104"/>
      <c r="Q93" s="104"/>
    </row>
    <row r="94" spans="1:22" ht="12.95" customHeight="1">
      <c r="A94" s="107" t="s">
        <v>63</v>
      </c>
      <c r="B94" s="108"/>
      <c r="C94" s="108"/>
      <c r="D94" s="108"/>
      <c r="E94" s="316"/>
      <c r="F94" s="108"/>
      <c r="G94" s="316"/>
      <c r="H94" s="110">
        <v>0</v>
      </c>
      <c r="I94" s="110">
        <v>0</v>
      </c>
      <c r="J94" s="110">
        <v>0</v>
      </c>
      <c r="K94" s="110">
        <v>0</v>
      </c>
      <c r="L94" s="110">
        <v>0.125</v>
      </c>
      <c r="M94" s="110">
        <v>0.125</v>
      </c>
      <c r="N94" s="110"/>
      <c r="O94" s="110"/>
      <c r="P94" s="110"/>
      <c r="Q94" s="110"/>
    </row>
    <row r="95" spans="1:22" ht="12.95" customHeight="1">
      <c r="A95" s="107"/>
      <c r="B95" s="108" t="s">
        <v>64</v>
      </c>
      <c r="C95" s="111"/>
      <c r="D95" s="111"/>
      <c r="E95" s="317"/>
      <c r="F95" s="111"/>
      <c r="G95" s="317"/>
      <c r="H95" s="113">
        <f>(H90+H91+H92+H93)*H94</f>
        <v>0</v>
      </c>
      <c r="I95" s="114">
        <f>(I90+I91+I93)*I94</f>
        <v>0</v>
      </c>
      <c r="J95" s="115">
        <f>(J90+J91+J92+J93)*J94</f>
        <v>0</v>
      </c>
      <c r="K95" s="113">
        <f>(K90+K91+K93)*K94</f>
        <v>0</v>
      </c>
      <c r="L95" s="113">
        <f>(L90+L91+L92+L93)*L94</f>
        <v>272550.625</v>
      </c>
      <c r="M95" s="114">
        <f>(M90+M91+M93)*M94</f>
        <v>261232.9</v>
      </c>
      <c r="N95" s="113"/>
      <c r="O95" s="114"/>
      <c r="P95" s="113"/>
      <c r="Q95" s="113"/>
    </row>
    <row r="96" spans="1:22">
      <c r="A96" s="1862" t="s">
        <v>65</v>
      </c>
      <c r="B96" s="1863"/>
      <c r="C96" s="111"/>
      <c r="D96" s="111"/>
      <c r="E96" s="317"/>
      <c r="F96" s="116"/>
      <c r="G96" s="317"/>
      <c r="H96" s="118">
        <v>0.05</v>
      </c>
      <c r="I96" s="118">
        <v>0.05</v>
      </c>
      <c r="J96" s="118">
        <v>0.05</v>
      </c>
      <c r="K96" s="118">
        <v>0.05</v>
      </c>
      <c r="L96" s="118">
        <v>0.05</v>
      </c>
      <c r="M96" s="118">
        <v>0.05</v>
      </c>
      <c r="N96" s="118"/>
      <c r="O96" s="118"/>
      <c r="P96" s="118"/>
      <c r="Q96" s="118"/>
    </row>
    <row r="97" spans="1:17" ht="12.95" customHeight="1">
      <c r="A97" s="102"/>
      <c r="B97" s="103" t="s">
        <v>66</v>
      </c>
      <c r="C97" s="111"/>
      <c r="D97" s="111"/>
      <c r="E97" s="317"/>
      <c r="F97" s="116"/>
      <c r="G97" s="317"/>
      <c r="H97" s="113">
        <f>(H95+H91+H92+H93+H90)*H96</f>
        <v>141656.15</v>
      </c>
      <c r="I97" s="114">
        <f>(I95+I91+I93+I90)*I96</f>
        <v>119171.97046164919</v>
      </c>
      <c r="J97" s="115">
        <f>(J95+J91+J92+J93+J90)*J96</f>
        <v>122971.25</v>
      </c>
      <c r="K97" s="113">
        <f>(K95+K91+K93+K90)*K96</f>
        <v>117071.20000000001</v>
      </c>
      <c r="L97" s="113">
        <f>(L95+L91+L92+L93+L90)*L96</f>
        <v>122647.78125</v>
      </c>
      <c r="M97" s="114">
        <f>(M95+M91+M93+M90)*M96</f>
        <v>117554.80500000001</v>
      </c>
      <c r="N97" s="113"/>
      <c r="O97" s="114"/>
      <c r="P97" s="113"/>
      <c r="Q97" s="113"/>
    </row>
    <row r="98" spans="1:17" ht="12.95" customHeight="1">
      <c r="A98" s="102" t="s">
        <v>67</v>
      </c>
      <c r="B98" s="103"/>
      <c r="C98" s="111"/>
      <c r="D98" s="111"/>
      <c r="E98" s="317"/>
      <c r="F98" s="116"/>
      <c r="G98" s="317"/>
      <c r="H98" s="118"/>
      <c r="I98" s="118"/>
      <c r="J98" s="118"/>
      <c r="K98" s="118"/>
      <c r="L98" s="118"/>
      <c r="M98" s="118"/>
      <c r="N98" s="118"/>
      <c r="O98" s="118"/>
      <c r="P98" s="118"/>
      <c r="Q98" s="118"/>
    </row>
    <row r="99" spans="1:17" ht="12.95" customHeight="1">
      <c r="A99" s="102"/>
      <c r="B99" s="103" t="s">
        <v>68</v>
      </c>
      <c r="C99" s="111"/>
      <c r="D99" s="111"/>
      <c r="E99" s="317"/>
      <c r="F99" s="116"/>
      <c r="G99" s="317"/>
      <c r="H99" s="113">
        <f>(H95+H91+H92+H93+H90)*H98</f>
        <v>0</v>
      </c>
      <c r="I99" s="114">
        <f>(I95+I91+I93+I90)*I98</f>
        <v>0</v>
      </c>
      <c r="J99" s="115">
        <f>(J95+J91+J92+J93+J90)*J98</f>
        <v>0</v>
      </c>
      <c r="K99" s="113">
        <f>(K95+K91+K93+K90)*K98</f>
        <v>0</v>
      </c>
      <c r="L99" s="113">
        <f>(L95+L91+L92+L93+L90)*L98</f>
        <v>0</v>
      </c>
      <c r="M99" s="114">
        <f>(M95+M91+M93+M90)*M98</f>
        <v>0</v>
      </c>
      <c r="N99" s="113"/>
      <c r="O99" s="114"/>
      <c r="P99" s="113"/>
      <c r="Q99" s="113"/>
    </row>
    <row r="100" spans="1:17" ht="12.95" customHeight="1">
      <c r="A100" s="1862" t="s">
        <v>69</v>
      </c>
      <c r="B100" s="1863"/>
      <c r="C100" s="111"/>
      <c r="D100" s="111"/>
      <c r="E100" s="317"/>
      <c r="F100" s="120"/>
      <c r="G100" s="317"/>
      <c r="H100" s="118"/>
      <c r="I100" s="121"/>
      <c r="J100" s="119"/>
      <c r="K100" s="118"/>
      <c r="L100" s="118"/>
      <c r="M100" s="121"/>
      <c r="N100" s="118"/>
      <c r="O100" s="121"/>
      <c r="P100" s="118"/>
      <c r="Q100" s="118"/>
    </row>
    <row r="101" spans="1:17" ht="12.95" customHeight="1">
      <c r="A101" s="122"/>
      <c r="B101" s="123" t="s">
        <v>70</v>
      </c>
      <c r="C101" s="124"/>
      <c r="D101" s="124"/>
      <c r="E101" s="318"/>
      <c r="F101" s="125"/>
      <c r="G101" s="318"/>
      <c r="H101" s="113">
        <f t="shared" ref="H101:M101" si="6">H90*H100</f>
        <v>0</v>
      </c>
      <c r="I101" s="114">
        <f t="shared" si="6"/>
        <v>0</v>
      </c>
      <c r="J101" s="115">
        <f t="shared" si="6"/>
        <v>0</v>
      </c>
      <c r="K101" s="113">
        <f t="shared" si="6"/>
        <v>0</v>
      </c>
      <c r="L101" s="113">
        <f t="shared" si="6"/>
        <v>0</v>
      </c>
      <c r="M101" s="114">
        <f t="shared" si="6"/>
        <v>0</v>
      </c>
      <c r="N101" s="113"/>
      <c r="O101" s="114"/>
      <c r="P101" s="113"/>
      <c r="Q101" s="113"/>
    </row>
    <row r="102" spans="1:17" ht="13.5" thickBot="1">
      <c r="A102" s="1864"/>
      <c r="B102" s="1865"/>
      <c r="C102" s="124"/>
      <c r="D102" s="124"/>
      <c r="E102" s="319"/>
      <c r="F102" s="124"/>
      <c r="G102" s="319"/>
      <c r="H102" s="128"/>
      <c r="I102" s="129"/>
      <c r="J102" s="130"/>
      <c r="K102" s="128"/>
      <c r="L102" s="128"/>
      <c r="M102" s="129"/>
      <c r="N102" s="128"/>
      <c r="O102" s="129"/>
      <c r="P102" s="128"/>
      <c r="Q102" s="128"/>
    </row>
    <row r="103" spans="1:17" ht="13.5" thickBot="1">
      <c r="A103" s="131" t="s">
        <v>71</v>
      </c>
      <c r="B103" s="132"/>
      <c r="C103" s="132"/>
      <c r="D103" s="132"/>
      <c r="E103" s="320"/>
      <c r="F103" s="132"/>
      <c r="G103" s="320"/>
      <c r="H103" s="134">
        <f>SUM(H90:H102)</f>
        <v>2974779.1999999997</v>
      </c>
      <c r="I103" s="135">
        <f>SUM(I90:I102)</f>
        <v>2502611.429694633</v>
      </c>
      <c r="J103" s="134">
        <f>SUM(J90,J91,J93,J95,J97)</f>
        <v>2582396.25</v>
      </c>
      <c r="K103" s="135">
        <f>SUM(K90:K102)</f>
        <v>2458495.25</v>
      </c>
      <c r="L103" s="134">
        <f>SUM(L90:L102)</f>
        <v>2575603.5812499998</v>
      </c>
      <c r="M103" s="135">
        <f>SUM(M90:M102)</f>
        <v>2468651.08</v>
      </c>
      <c r="N103" s="134"/>
      <c r="O103" s="135"/>
      <c r="P103" s="136"/>
      <c r="Q103" s="136"/>
    </row>
    <row r="104" spans="1:17" s="142" customFormat="1" ht="13.5" thickBot="1">
      <c r="A104" s="137"/>
      <c r="B104" s="138"/>
      <c r="C104" s="138"/>
      <c r="D104" s="138"/>
      <c r="E104" s="321"/>
      <c r="F104" s="138"/>
      <c r="G104" s="321"/>
      <c r="H104" s="139"/>
      <c r="I104" s="140"/>
      <c r="J104" s="139"/>
      <c r="K104" s="140"/>
      <c r="L104" s="139"/>
      <c r="M104" s="140"/>
      <c r="N104" s="139"/>
      <c r="O104" s="140"/>
      <c r="P104" s="141"/>
      <c r="Q104" s="141"/>
    </row>
    <row r="105" spans="1:17" s="7" customFormat="1" ht="13.5" thickBot="1">
      <c r="A105" s="131" t="s">
        <v>72</v>
      </c>
      <c r="B105" s="132"/>
      <c r="C105" s="132"/>
      <c r="D105" s="132"/>
      <c r="E105" s="320"/>
      <c r="F105" s="132"/>
      <c r="G105" s="320"/>
      <c r="H105" s="135">
        <f>H90+H99+H91+H93+H92</f>
        <v>2833123</v>
      </c>
      <c r="I105" s="143">
        <f>I90+I99</f>
        <v>2383439.4092329838</v>
      </c>
      <c r="J105" s="135">
        <f>J90+J93</f>
        <v>2459425</v>
      </c>
      <c r="K105" s="135">
        <f>K90+K93</f>
        <v>2341424</v>
      </c>
      <c r="L105" s="135">
        <f>L90+L99+L91+L93+L92</f>
        <v>2180405</v>
      </c>
      <c r="M105" s="143">
        <f>M90+M99+M91+M93</f>
        <v>2089863.2</v>
      </c>
      <c r="N105" s="135"/>
      <c r="O105" s="143"/>
      <c r="P105" s="144"/>
      <c r="Q105" s="144"/>
    </row>
    <row r="106" spans="1:17" ht="13.5" thickBot="1">
      <c r="A106" s="145"/>
      <c r="B106" s="146"/>
      <c r="C106" s="147"/>
      <c r="D106" s="147"/>
      <c r="E106" s="322"/>
      <c r="F106" s="147"/>
      <c r="G106" s="322"/>
      <c r="H106" s="149"/>
      <c r="I106" s="150"/>
      <c r="J106" s="149"/>
      <c r="K106" s="151"/>
      <c r="L106" s="149"/>
      <c r="M106" s="150"/>
      <c r="N106" s="149"/>
      <c r="O106" s="150"/>
      <c r="P106" s="154"/>
      <c r="Q106" s="154"/>
    </row>
    <row r="107" spans="1:17" ht="38.25">
      <c r="A107" s="155" t="s">
        <v>73</v>
      </c>
      <c r="B107" s="156" t="s">
        <v>74</v>
      </c>
      <c r="C107" s="157"/>
      <c r="D107" s="157"/>
      <c r="E107" s="323"/>
      <c r="F107" s="157"/>
      <c r="G107" s="323"/>
      <c r="H107" s="159" t="s">
        <v>163</v>
      </c>
      <c r="I107" s="159" t="s">
        <v>163</v>
      </c>
      <c r="J107" s="159" t="s">
        <v>163</v>
      </c>
      <c r="K107" s="159" t="s">
        <v>163</v>
      </c>
      <c r="L107" s="159" t="s">
        <v>164</v>
      </c>
      <c r="M107" s="159" t="s">
        <v>279</v>
      </c>
      <c r="N107" s="159"/>
      <c r="O107" s="159"/>
      <c r="P107" s="163"/>
      <c r="Q107" s="163"/>
    </row>
    <row r="108" spans="1:17" ht="13.5" thickBot="1">
      <c r="A108" s="164" t="s">
        <v>79</v>
      </c>
      <c r="B108" s="165" t="s">
        <v>80</v>
      </c>
      <c r="C108" s="166"/>
      <c r="D108" s="166"/>
      <c r="E108" s="324"/>
      <c r="F108" s="166"/>
      <c r="G108" s="324"/>
      <c r="H108" s="159" t="s">
        <v>165</v>
      </c>
      <c r="I108" s="168" t="s">
        <v>82</v>
      </c>
      <c r="J108" s="169" t="s">
        <v>82</v>
      </c>
      <c r="K108" s="170" t="s">
        <v>82</v>
      </c>
      <c r="L108" s="170" t="s">
        <v>82</v>
      </c>
      <c r="M108" s="170" t="s">
        <v>82</v>
      </c>
      <c r="N108" s="170"/>
      <c r="O108" s="170"/>
      <c r="P108" s="159"/>
      <c r="Q108" s="159"/>
    </row>
    <row r="109" spans="1:17" ht="127.5">
      <c r="A109" s="173" t="s">
        <v>85</v>
      </c>
      <c r="B109" s="174" t="s">
        <v>86</v>
      </c>
      <c r="C109" s="175"/>
      <c r="D109" s="175"/>
      <c r="E109" s="325"/>
      <c r="F109" s="175"/>
      <c r="G109" s="325"/>
      <c r="H109" s="177" t="s">
        <v>167</v>
      </c>
      <c r="I109" s="177" t="s">
        <v>168</v>
      </c>
      <c r="J109" s="177" t="s">
        <v>280</v>
      </c>
      <c r="K109" s="177" t="s">
        <v>168</v>
      </c>
      <c r="L109" s="177" t="s">
        <v>281</v>
      </c>
      <c r="M109" s="177" t="s">
        <v>282</v>
      </c>
      <c r="N109" s="177"/>
      <c r="O109" s="177"/>
      <c r="P109" s="180"/>
      <c r="Q109" s="180"/>
    </row>
    <row r="110" spans="1:17">
      <c r="A110" s="181" t="s">
        <v>90</v>
      </c>
      <c r="B110" s="175" t="s">
        <v>91</v>
      </c>
      <c r="C110" s="175"/>
      <c r="D110" s="175"/>
      <c r="E110" s="325"/>
      <c r="F110" s="175"/>
      <c r="G110" s="325"/>
      <c r="H110" s="177" t="s">
        <v>92</v>
      </c>
      <c r="I110" s="182" t="s">
        <v>92</v>
      </c>
      <c r="J110" s="182" t="s">
        <v>92</v>
      </c>
      <c r="K110" s="182" t="s">
        <v>92</v>
      </c>
      <c r="L110" s="182" t="s">
        <v>92</v>
      </c>
      <c r="M110" s="182" t="s">
        <v>92</v>
      </c>
      <c r="N110" s="182"/>
      <c r="O110" s="182"/>
      <c r="P110" s="180"/>
      <c r="Q110" s="180"/>
    </row>
    <row r="111" spans="1:17" ht="39.950000000000003" customHeight="1">
      <c r="A111" s="181" t="s">
        <v>93</v>
      </c>
      <c r="B111" s="174" t="s">
        <v>94</v>
      </c>
      <c r="C111" s="175"/>
      <c r="D111" s="175"/>
      <c r="E111" s="325"/>
      <c r="F111" s="175"/>
      <c r="G111" s="325"/>
      <c r="H111" s="184"/>
      <c r="I111" s="185"/>
      <c r="J111" s="184"/>
      <c r="K111" s="186"/>
      <c r="L111" s="186"/>
      <c r="M111" s="186"/>
      <c r="N111" s="186"/>
      <c r="O111" s="186"/>
      <c r="P111" s="188"/>
      <c r="Q111" s="188"/>
    </row>
    <row r="112" spans="1:17" ht="89.25">
      <c r="A112" s="181" t="s">
        <v>95</v>
      </c>
      <c r="B112" s="174" t="s">
        <v>96</v>
      </c>
      <c r="C112" s="175"/>
      <c r="D112" s="175"/>
      <c r="E112" s="325"/>
      <c r="F112" s="175"/>
      <c r="G112" s="325"/>
      <c r="H112" s="177" t="s">
        <v>97</v>
      </c>
      <c r="I112" s="177" t="s">
        <v>97</v>
      </c>
      <c r="J112" s="177" t="s">
        <v>97</v>
      </c>
      <c r="K112" s="177" t="s">
        <v>98</v>
      </c>
      <c r="L112" s="177" t="s">
        <v>98</v>
      </c>
      <c r="M112" s="177" t="s">
        <v>98</v>
      </c>
      <c r="N112" s="177"/>
      <c r="O112" s="177"/>
      <c r="P112" s="188"/>
      <c r="Q112" s="188"/>
    </row>
    <row r="113" spans="1:17" ht="51.75" thickBot="1">
      <c r="A113" s="189" t="s">
        <v>99</v>
      </c>
      <c r="B113" s="190" t="s">
        <v>100</v>
      </c>
      <c r="C113" s="191"/>
      <c r="D113" s="191"/>
      <c r="E113" s="326"/>
      <c r="F113" s="191"/>
      <c r="G113" s="326"/>
      <c r="H113" s="193" t="s">
        <v>101</v>
      </c>
      <c r="I113" s="193" t="s">
        <v>101</v>
      </c>
      <c r="J113" s="193" t="s">
        <v>101</v>
      </c>
      <c r="K113" s="193" t="s">
        <v>101</v>
      </c>
      <c r="L113" s="193" t="s">
        <v>101</v>
      </c>
      <c r="M113" s="193" t="s">
        <v>101</v>
      </c>
      <c r="N113" s="193"/>
      <c r="O113" s="193"/>
      <c r="P113" s="196"/>
      <c r="Q113" s="196"/>
    </row>
    <row r="114" spans="1:17" ht="30" customHeight="1">
      <c r="A114" s="1866" t="s">
        <v>102</v>
      </c>
      <c r="B114" s="1867"/>
      <c r="C114" s="1971"/>
      <c r="D114" s="253"/>
      <c r="E114" s="327"/>
      <c r="F114" s="1858" t="s">
        <v>103</v>
      </c>
      <c r="G114" s="1859"/>
      <c r="H114" s="1859"/>
      <c r="I114" s="1859"/>
      <c r="J114" s="1966"/>
      <c r="K114" s="1856" t="s">
        <v>104</v>
      </c>
      <c r="L114" s="1857"/>
      <c r="M114" s="1857"/>
      <c r="N114" s="1857"/>
      <c r="O114" s="1857"/>
      <c r="P114" s="1857"/>
      <c r="Q114" s="1967"/>
    </row>
    <row r="115" spans="1:17" ht="13.5" thickBot="1">
      <c r="A115" s="1866"/>
      <c r="B115" s="1867"/>
      <c r="C115" s="1971"/>
      <c r="D115" s="253"/>
      <c r="E115" s="327"/>
      <c r="F115" s="1858"/>
      <c r="G115" s="1859"/>
      <c r="H115" s="1859"/>
      <c r="I115" s="1859"/>
      <c r="J115" s="1966"/>
      <c r="K115" s="1968"/>
      <c r="L115" s="1969"/>
      <c r="M115" s="1969"/>
      <c r="N115" s="1969"/>
      <c r="O115" s="1969"/>
      <c r="P115" s="1969"/>
      <c r="Q115" s="1970"/>
    </row>
    <row r="116" spans="1:17">
      <c r="A116" s="149"/>
      <c r="B116" s="197"/>
      <c r="C116" s="152"/>
      <c r="D116" s="152"/>
      <c r="E116" s="328"/>
      <c r="F116" s="152"/>
      <c r="G116" s="328"/>
      <c r="H116" s="152"/>
      <c r="I116" s="152"/>
      <c r="J116" s="152"/>
      <c r="K116" s="152"/>
      <c r="L116" s="152"/>
      <c r="M116" s="152"/>
      <c r="N116" s="152"/>
      <c r="O116" s="152"/>
      <c r="P116" s="152"/>
      <c r="Q116" s="199"/>
    </row>
    <row r="117" spans="1:17">
      <c r="A117" s="200"/>
      <c r="B117" s="201"/>
      <c r="C117" s="202"/>
      <c r="D117" s="202"/>
      <c r="E117" s="329"/>
      <c r="F117" s="202"/>
      <c r="G117" s="329"/>
      <c r="H117" s="202"/>
      <c r="I117" s="202"/>
      <c r="J117" s="202"/>
      <c r="K117" s="202"/>
      <c r="L117" s="202"/>
      <c r="M117" s="202"/>
      <c r="N117" s="202"/>
      <c r="O117" s="202"/>
      <c r="P117" s="202"/>
      <c r="Q117" s="204"/>
    </row>
    <row r="118" spans="1:17">
      <c r="A118" s="200"/>
      <c r="B118" s="27" t="s">
        <v>105</v>
      </c>
      <c r="C118" s="28"/>
      <c r="D118" s="28"/>
      <c r="E118" s="330" t="s">
        <v>106</v>
      </c>
      <c r="F118" s="28"/>
      <c r="G118" s="330" t="s">
        <v>106</v>
      </c>
      <c r="H118" s="202"/>
      <c r="I118" s="28"/>
      <c r="J118" s="28"/>
      <c r="K118" s="28"/>
      <c r="L118" s="28" t="s">
        <v>107</v>
      </c>
      <c r="M118" s="202"/>
      <c r="N118" s="202"/>
      <c r="O118" s="202"/>
      <c r="P118" s="202"/>
      <c r="Q118" s="204"/>
    </row>
    <row r="119" spans="1:17" ht="13.5" thickBot="1">
      <c r="A119" s="205"/>
      <c r="B119" s="206"/>
      <c r="C119" s="207"/>
      <c r="D119" s="207"/>
      <c r="E119" s="331"/>
      <c r="F119" s="207"/>
      <c r="G119" s="331"/>
      <c r="H119" s="207"/>
      <c r="I119" s="207"/>
      <c r="J119" s="207"/>
      <c r="K119" s="207"/>
      <c r="L119" s="207"/>
      <c r="M119" s="207"/>
      <c r="N119" s="207"/>
      <c r="O119" s="207"/>
      <c r="P119" s="207"/>
      <c r="Q119" s="208"/>
    </row>
    <row r="125" spans="1:17" s="340" customFormat="1" ht="15.75">
      <c r="A125" s="332">
        <v>43</v>
      </c>
      <c r="B125" s="288" t="s">
        <v>283</v>
      </c>
      <c r="C125" s="333"/>
      <c r="D125" s="333"/>
      <c r="E125" s="279">
        <v>2</v>
      </c>
      <c r="F125" s="288" t="s">
        <v>192</v>
      </c>
      <c r="G125" s="279">
        <v>2</v>
      </c>
      <c r="H125" s="334">
        <v>16500</v>
      </c>
      <c r="I125" s="335">
        <f>H125*$H$6</f>
        <v>13781.05153599296</v>
      </c>
      <c r="J125" s="336">
        <v>13500</v>
      </c>
      <c r="K125" s="337">
        <f>J125*0.95</f>
        <v>12825</v>
      </c>
      <c r="L125" s="280">
        <v>8500</v>
      </c>
      <c r="M125" s="281">
        <f>L125*0.98</f>
        <v>8330</v>
      </c>
      <c r="N125" s="338"/>
      <c r="O125" s="339"/>
      <c r="P125" s="287" t="s">
        <v>236</v>
      </c>
      <c r="Q125" s="288" t="s">
        <v>222</v>
      </c>
    </row>
    <row r="126" spans="1:17" s="340" customFormat="1" ht="15.75">
      <c r="A126" s="332">
        <v>26</v>
      </c>
      <c r="B126" s="288" t="s">
        <v>284</v>
      </c>
      <c r="C126" s="333"/>
      <c r="D126" s="333"/>
      <c r="E126" s="279">
        <v>1</v>
      </c>
      <c r="F126" s="288" t="s">
        <v>192</v>
      </c>
      <c r="G126" s="279">
        <v>1</v>
      </c>
      <c r="H126" s="334">
        <v>5500</v>
      </c>
      <c r="I126" s="335">
        <f>H126*$H$6</f>
        <v>4593.6838453309865</v>
      </c>
      <c r="J126" s="336">
        <v>4350</v>
      </c>
      <c r="K126" s="337">
        <f>J126*0.95</f>
        <v>4132.5</v>
      </c>
      <c r="L126" s="280">
        <v>3150</v>
      </c>
      <c r="M126" s="281">
        <f>L126*0.98</f>
        <v>3087</v>
      </c>
      <c r="N126" s="338"/>
      <c r="O126" s="339"/>
      <c r="P126" s="287" t="s">
        <v>226</v>
      </c>
      <c r="Q126" s="288" t="s">
        <v>212</v>
      </c>
    </row>
    <row r="127" spans="1:17" s="340" customFormat="1" ht="15.75">
      <c r="A127" s="332">
        <v>19</v>
      </c>
      <c r="B127" s="288" t="s">
        <v>285</v>
      </c>
      <c r="C127" s="333"/>
      <c r="D127" s="333"/>
      <c r="E127" s="279">
        <v>0</v>
      </c>
      <c r="F127" s="288" t="s">
        <v>192</v>
      </c>
      <c r="G127" s="279">
        <v>0</v>
      </c>
      <c r="H127" s="334">
        <v>4500</v>
      </c>
      <c r="I127" s="335">
        <f>H127*$H$6</f>
        <v>3758.4686007253526</v>
      </c>
      <c r="J127" s="336">
        <v>4050</v>
      </c>
      <c r="K127" s="337">
        <f>J127*0.95</f>
        <v>3847.5</v>
      </c>
      <c r="L127" s="280">
        <v>2600</v>
      </c>
      <c r="M127" s="281">
        <f>L127*0.98</f>
        <v>2548</v>
      </c>
      <c r="N127" s="338"/>
      <c r="O127" s="339"/>
      <c r="P127" s="287" t="s">
        <v>226</v>
      </c>
      <c r="Q127" s="288" t="s">
        <v>150</v>
      </c>
    </row>
    <row r="128" spans="1:17" s="340" customFormat="1" ht="15.75">
      <c r="A128" s="332">
        <v>21</v>
      </c>
      <c r="B128" s="288" t="s">
        <v>286</v>
      </c>
      <c r="C128" s="333"/>
      <c r="D128" s="333"/>
      <c r="E128" s="279">
        <v>0</v>
      </c>
      <c r="F128" s="288" t="s">
        <v>192</v>
      </c>
      <c r="G128" s="279">
        <v>0</v>
      </c>
      <c r="H128" s="334">
        <v>8500</v>
      </c>
      <c r="I128" s="335">
        <f>H128*$H$6</f>
        <v>7099.3295791478886</v>
      </c>
      <c r="J128" s="336">
        <v>6750</v>
      </c>
      <c r="K128" s="337">
        <f>J128*0.95</f>
        <v>6412.5</v>
      </c>
      <c r="L128" s="280">
        <v>5000</v>
      </c>
      <c r="M128" s="281">
        <f>L128*0.98</f>
        <v>4900</v>
      </c>
      <c r="N128" s="338"/>
      <c r="O128" s="339"/>
      <c r="P128" s="287" t="s">
        <v>226</v>
      </c>
      <c r="Q128" s="288" t="s">
        <v>140</v>
      </c>
    </row>
    <row r="131" spans="1:17">
      <c r="A131" s="266"/>
      <c r="B131" s="235" t="s">
        <v>267</v>
      </c>
      <c r="C131" s="266"/>
      <c r="D131" s="266"/>
      <c r="E131" s="341">
        <v>2</v>
      </c>
      <c r="F131" s="235" t="s">
        <v>192</v>
      </c>
      <c r="G131" s="341">
        <v>2</v>
      </c>
      <c r="H131" s="266"/>
      <c r="I131" s="266"/>
      <c r="J131" s="266"/>
      <c r="K131" s="266"/>
      <c r="L131" s="266"/>
      <c r="M131" s="266"/>
      <c r="N131" s="266"/>
      <c r="O131" s="266"/>
      <c r="P131" s="235" t="s">
        <v>266</v>
      </c>
      <c r="Q131" s="235" t="s">
        <v>147</v>
      </c>
    </row>
    <row r="132" spans="1:17">
      <c r="A132" s="266"/>
      <c r="B132" s="235" t="s">
        <v>268</v>
      </c>
      <c r="C132" s="266"/>
      <c r="D132" s="266"/>
      <c r="E132" s="341">
        <v>2</v>
      </c>
      <c r="F132" s="235" t="s">
        <v>192</v>
      </c>
      <c r="G132" s="341">
        <v>2</v>
      </c>
      <c r="H132" s="266"/>
      <c r="I132" s="266"/>
      <c r="J132" s="266"/>
      <c r="K132" s="266"/>
      <c r="L132" s="266"/>
      <c r="M132" s="266"/>
      <c r="N132" s="266"/>
      <c r="O132" s="266"/>
      <c r="P132" s="235" t="s">
        <v>266</v>
      </c>
      <c r="Q132" s="235" t="s">
        <v>140</v>
      </c>
    </row>
    <row r="133" spans="1:17">
      <c r="A133" s="266"/>
      <c r="B133" s="235" t="s">
        <v>269</v>
      </c>
      <c r="C133" s="266"/>
      <c r="D133" s="266"/>
      <c r="E133" s="341">
        <v>6</v>
      </c>
      <c r="F133" s="235" t="s">
        <v>192</v>
      </c>
      <c r="G133" s="341">
        <v>6</v>
      </c>
      <c r="H133" s="266"/>
      <c r="I133" s="266"/>
      <c r="J133" s="266"/>
      <c r="K133" s="266"/>
      <c r="L133" s="266"/>
      <c r="M133" s="266"/>
      <c r="N133" s="266"/>
      <c r="O133" s="266"/>
      <c r="P133" s="235" t="s">
        <v>135</v>
      </c>
      <c r="Q133" s="235" t="s">
        <v>147</v>
      </c>
    </row>
    <row r="136" spans="1:17">
      <c r="B136" s="235" t="s">
        <v>265</v>
      </c>
      <c r="C136" s="235" t="s">
        <v>192</v>
      </c>
      <c r="D136" s="342">
        <v>1</v>
      </c>
      <c r="E136" s="341" t="s">
        <v>266</v>
      </c>
      <c r="G136" s="341" t="s">
        <v>266</v>
      </c>
      <c r="H136" s="235" t="s">
        <v>136</v>
      </c>
    </row>
    <row r="137" spans="1:17">
      <c r="B137" s="235" t="s">
        <v>267</v>
      </c>
      <c r="C137" s="235" t="s">
        <v>192</v>
      </c>
      <c r="D137" s="342">
        <v>2</v>
      </c>
      <c r="E137" s="341" t="s">
        <v>266</v>
      </c>
      <c r="G137" s="341" t="s">
        <v>266</v>
      </c>
      <c r="H137" s="235" t="s">
        <v>147</v>
      </c>
    </row>
    <row r="138" spans="1:17">
      <c r="B138" s="235" t="s">
        <v>268</v>
      </c>
      <c r="C138" s="235" t="s">
        <v>192</v>
      </c>
      <c r="D138" s="342">
        <v>2</v>
      </c>
      <c r="E138" s="341" t="s">
        <v>266</v>
      </c>
      <c r="G138" s="341" t="s">
        <v>266</v>
      </c>
      <c r="H138" s="235" t="s">
        <v>140</v>
      </c>
    </row>
    <row r="139" spans="1:17">
      <c r="B139" s="235" t="s">
        <v>269</v>
      </c>
      <c r="C139" s="235" t="s">
        <v>192</v>
      </c>
      <c r="D139" s="342">
        <v>6</v>
      </c>
      <c r="E139" s="341" t="s">
        <v>135</v>
      </c>
      <c r="G139" s="341" t="s">
        <v>135</v>
      </c>
      <c r="H139" s="235" t="s">
        <v>147</v>
      </c>
    </row>
    <row r="140" spans="1:17">
      <c r="B140" s="235" t="s">
        <v>270</v>
      </c>
      <c r="C140" s="235" t="s">
        <v>192</v>
      </c>
      <c r="D140" s="342">
        <v>11</v>
      </c>
      <c r="E140" s="341" t="s">
        <v>139</v>
      </c>
      <c r="G140" s="341" t="s">
        <v>139</v>
      </c>
      <c r="H140" s="235" t="s">
        <v>136</v>
      </c>
    </row>
    <row r="141" spans="1:17">
      <c r="B141" s="235" t="s">
        <v>271</v>
      </c>
      <c r="C141" s="235" t="s">
        <v>192</v>
      </c>
      <c r="D141" s="342">
        <v>9</v>
      </c>
      <c r="E141" s="341" t="s">
        <v>139</v>
      </c>
      <c r="G141" s="341" t="s">
        <v>139</v>
      </c>
      <c r="H141" s="235" t="s">
        <v>147</v>
      </c>
    </row>
    <row r="142" spans="1:17">
      <c r="B142" s="235" t="s">
        <v>272</v>
      </c>
      <c r="C142" s="235" t="s">
        <v>192</v>
      </c>
      <c r="D142" s="342">
        <v>1</v>
      </c>
      <c r="E142" s="341" t="s">
        <v>139</v>
      </c>
      <c r="G142" s="341" t="s">
        <v>139</v>
      </c>
      <c r="H142" s="235" t="s">
        <v>150</v>
      </c>
    </row>
    <row r="143" spans="1:17">
      <c r="B143" s="235" t="s">
        <v>273</v>
      </c>
      <c r="C143" s="235" t="s">
        <v>192</v>
      </c>
      <c r="D143" s="342">
        <v>1</v>
      </c>
      <c r="E143" s="341" t="s">
        <v>139</v>
      </c>
      <c r="G143" s="341" t="s">
        <v>139</v>
      </c>
      <c r="H143" s="235" t="s">
        <v>152</v>
      </c>
    </row>
    <row r="144" spans="1:17">
      <c r="B144" s="235" t="s">
        <v>274</v>
      </c>
      <c r="C144" s="235" t="s">
        <v>192</v>
      </c>
      <c r="D144" s="342">
        <v>2</v>
      </c>
      <c r="E144" s="341" t="s">
        <v>139</v>
      </c>
      <c r="G144" s="341" t="s">
        <v>139</v>
      </c>
      <c r="H144" s="235" t="s">
        <v>202</v>
      </c>
    </row>
    <row r="145" spans="2:8">
      <c r="B145" s="292" t="s">
        <v>275</v>
      </c>
      <c r="C145" s="292" t="s">
        <v>192</v>
      </c>
      <c r="D145" s="343">
        <v>3</v>
      </c>
      <c r="E145" s="344" t="s">
        <v>139</v>
      </c>
      <c r="G145" s="344" t="s">
        <v>139</v>
      </c>
      <c r="H145" s="292" t="s">
        <v>204</v>
      </c>
    </row>
    <row r="146" spans="2:8">
      <c r="B146" s="345" t="s">
        <v>287</v>
      </c>
      <c r="C146" s="266"/>
      <c r="D146" s="266"/>
      <c r="E146" s="298"/>
      <c r="F146" s="266"/>
      <c r="G146" s="298"/>
      <c r="H146" s="266"/>
    </row>
    <row r="147" spans="2:8">
      <c r="B147" s="297" t="s">
        <v>194</v>
      </c>
      <c r="C147" s="299" t="s">
        <v>192</v>
      </c>
      <c r="D147" s="346">
        <v>1</v>
      </c>
      <c r="E147" s="341" t="s">
        <v>278</v>
      </c>
      <c r="F147" s="266"/>
      <c r="G147" s="341" t="s">
        <v>278</v>
      </c>
      <c r="H147" s="235" t="s">
        <v>136</v>
      </c>
    </row>
    <row r="148" spans="2:8">
      <c r="B148" s="297" t="s">
        <v>201</v>
      </c>
      <c r="C148" s="299" t="s">
        <v>192</v>
      </c>
      <c r="D148" s="346">
        <v>1</v>
      </c>
      <c r="E148" s="341" t="s">
        <v>278</v>
      </c>
      <c r="F148" s="266"/>
      <c r="G148" s="341" t="s">
        <v>278</v>
      </c>
      <c r="H148" s="235" t="s">
        <v>147</v>
      </c>
    </row>
    <row r="149" spans="2:8">
      <c r="B149" s="297" t="s">
        <v>203</v>
      </c>
      <c r="C149" s="299" t="s">
        <v>192</v>
      </c>
      <c r="D149" s="346">
        <v>1</v>
      </c>
      <c r="E149" s="341" t="s">
        <v>278</v>
      </c>
      <c r="F149" s="266"/>
      <c r="G149" s="341" t="s">
        <v>278</v>
      </c>
      <c r="H149" s="235" t="s">
        <v>150</v>
      </c>
    </row>
    <row r="150" spans="2:8">
      <c r="B150" s="297" t="s">
        <v>210</v>
      </c>
      <c r="C150" s="299" t="s">
        <v>192</v>
      </c>
      <c r="D150" s="346">
        <v>1</v>
      </c>
      <c r="E150" s="341" t="s">
        <v>278</v>
      </c>
      <c r="F150" s="266"/>
      <c r="G150" s="341" t="s">
        <v>278</v>
      </c>
      <c r="H150" s="235" t="s">
        <v>152</v>
      </c>
    </row>
    <row r="151" spans="2:8">
      <c r="B151" s="297" t="s">
        <v>213</v>
      </c>
      <c r="C151" s="299" t="s">
        <v>192</v>
      </c>
      <c r="D151" s="346">
        <v>1</v>
      </c>
      <c r="E151" s="341" t="s">
        <v>278</v>
      </c>
      <c r="F151" s="266"/>
      <c r="G151" s="341" t="s">
        <v>278</v>
      </c>
      <c r="H151" s="235" t="s">
        <v>140</v>
      </c>
    </row>
    <row r="152" spans="2:8">
      <c r="B152" s="297" t="s">
        <v>215</v>
      </c>
      <c r="C152" s="299" t="s">
        <v>192</v>
      </c>
      <c r="D152" s="346">
        <v>1</v>
      </c>
      <c r="E152" s="341" t="s">
        <v>278</v>
      </c>
      <c r="F152" s="266"/>
      <c r="G152" s="341" t="s">
        <v>278</v>
      </c>
      <c r="H152" s="235" t="s">
        <v>202</v>
      </c>
    </row>
    <row r="153" spans="2:8">
      <c r="B153" s="297" t="s">
        <v>227</v>
      </c>
      <c r="C153" s="299" t="s">
        <v>192</v>
      </c>
      <c r="D153" s="346">
        <v>1</v>
      </c>
      <c r="E153" s="341" t="s">
        <v>278</v>
      </c>
      <c r="F153" s="266"/>
      <c r="G153" s="341" t="s">
        <v>278</v>
      </c>
      <c r="H153" s="235" t="s">
        <v>204</v>
      </c>
    </row>
    <row r="154" spans="2:8">
      <c r="B154" s="297" t="s">
        <v>229</v>
      </c>
      <c r="C154" s="299" t="s">
        <v>192</v>
      </c>
      <c r="D154" s="346">
        <v>1</v>
      </c>
      <c r="E154" s="341" t="s">
        <v>278</v>
      </c>
      <c r="F154" s="266"/>
      <c r="G154" s="341" t="s">
        <v>278</v>
      </c>
      <c r="H154" s="235" t="s">
        <v>206</v>
      </c>
    </row>
    <row r="155" spans="2:8">
      <c r="B155" s="297" t="s">
        <v>230</v>
      </c>
      <c r="C155" s="299" t="s">
        <v>192</v>
      </c>
      <c r="D155" s="346">
        <v>1</v>
      </c>
      <c r="E155" s="341" t="s">
        <v>278</v>
      </c>
      <c r="F155" s="266"/>
      <c r="G155" s="341" t="s">
        <v>278</v>
      </c>
      <c r="H155" s="235" t="s">
        <v>209</v>
      </c>
    </row>
    <row r="156" spans="2:8">
      <c r="B156" s="297" t="s">
        <v>231</v>
      </c>
      <c r="C156" s="299" t="s">
        <v>192</v>
      </c>
      <c r="D156" s="346">
        <v>1</v>
      </c>
      <c r="E156" s="341" t="s">
        <v>278</v>
      </c>
      <c r="F156" s="266"/>
      <c r="G156" s="341" t="s">
        <v>278</v>
      </c>
      <c r="H156" s="235" t="s">
        <v>212</v>
      </c>
    </row>
    <row r="157" spans="2:8">
      <c r="B157" s="297" t="s">
        <v>217</v>
      </c>
      <c r="C157" s="299" t="s">
        <v>192</v>
      </c>
      <c r="D157" s="346">
        <v>1</v>
      </c>
      <c r="E157" s="341" t="s">
        <v>278</v>
      </c>
      <c r="F157" s="266"/>
      <c r="G157" s="341" t="s">
        <v>278</v>
      </c>
      <c r="H157" s="235" t="s">
        <v>214</v>
      </c>
    </row>
    <row r="158" spans="2:8">
      <c r="B158" s="297" t="s">
        <v>199</v>
      </c>
      <c r="C158" s="299" t="s">
        <v>192</v>
      </c>
      <c r="D158" s="346">
        <v>1</v>
      </c>
      <c r="E158" s="341" t="s">
        <v>278</v>
      </c>
      <c r="F158" s="266"/>
      <c r="G158" s="341" t="s">
        <v>278</v>
      </c>
      <c r="H158" s="235" t="s">
        <v>216</v>
      </c>
    </row>
  </sheetData>
  <mergeCells count="39">
    <mergeCell ref="A114:C115"/>
    <mergeCell ref="F114:J115"/>
    <mergeCell ref="K114:Q115"/>
    <mergeCell ref="N11:O11"/>
    <mergeCell ref="A91:B91"/>
    <mergeCell ref="A93:B93"/>
    <mergeCell ref="A96:B96"/>
    <mergeCell ref="A100:B100"/>
    <mergeCell ref="A102:B102"/>
    <mergeCell ref="G7:G12"/>
    <mergeCell ref="H7:I7"/>
    <mergeCell ref="J7:K7"/>
    <mergeCell ref="L7:M7"/>
    <mergeCell ref="N7:O7"/>
    <mergeCell ref="P7:Q7"/>
    <mergeCell ref="A7:A12"/>
    <mergeCell ref="R9:R11"/>
    <mergeCell ref="H10:I10"/>
    <mergeCell ref="J10:K10"/>
    <mergeCell ref="L10:M10"/>
    <mergeCell ref="N10:O10"/>
    <mergeCell ref="P10:Q10"/>
    <mergeCell ref="H11:I11"/>
    <mergeCell ref="J11:K11"/>
    <mergeCell ref="L11:M11"/>
    <mergeCell ref="H8:I9"/>
    <mergeCell ref="J8:K9"/>
    <mergeCell ref="L8:M9"/>
    <mergeCell ref="N8:O9"/>
    <mergeCell ref="B7:B12"/>
    <mergeCell ref="C7:C12"/>
    <mergeCell ref="E7:E12"/>
    <mergeCell ref="F7:F12"/>
    <mergeCell ref="A2:Q2"/>
    <mergeCell ref="A3:Q3"/>
    <mergeCell ref="E4:E5"/>
    <mergeCell ref="G4:G5"/>
    <mergeCell ref="H4:I5"/>
    <mergeCell ref="P8:Q9"/>
  </mergeCells>
  <pageMargins left="0.25" right="0.25" top="0.75" bottom="0.75" header="0.3" footer="0.3"/>
  <pageSetup scale="5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topLeftCell="B18" zoomScaleNormal="100" workbookViewId="0">
      <selection activeCell="H31" sqref="H31"/>
    </sheetView>
  </sheetViews>
  <sheetFormatPr defaultRowHeight="12.75"/>
  <cols>
    <col min="1" max="1" width="6.140625" style="9" customWidth="1"/>
    <col min="2" max="2" width="52.7109375" style="209" customWidth="1"/>
    <col min="3" max="3" width="16" style="9" customWidth="1"/>
    <col min="4" max="4" width="16.5703125" style="209" customWidth="1"/>
    <col min="5" max="5" width="6.140625" style="9" customWidth="1"/>
    <col min="6" max="6" width="12.7109375" style="9" customWidth="1"/>
    <col min="7" max="7" width="21.85546875" style="9" customWidth="1"/>
    <col min="8" max="8" width="19.140625" style="9" customWidth="1"/>
    <col min="9" max="9" width="20.5703125" style="9" customWidth="1"/>
    <col min="10" max="10" width="18.85546875" style="9" customWidth="1"/>
    <col min="11" max="11" width="17.5703125" style="9" customWidth="1"/>
    <col min="12" max="12" width="18.42578125" style="9" customWidth="1"/>
    <col min="13" max="13" width="12.42578125" style="9" bestFit="1" customWidth="1"/>
    <col min="14" max="14" width="11.140625" style="9" bestFit="1" customWidth="1"/>
    <col min="15" max="15" width="12.42578125" style="9" customWidth="1"/>
    <col min="16" max="253" width="9.140625" style="9"/>
    <col min="254" max="254" width="4" style="9" customWidth="1"/>
    <col min="255" max="255" width="30.7109375" style="9" customWidth="1"/>
    <col min="256" max="257" width="10" style="9" customWidth="1"/>
    <col min="258" max="258" width="9.85546875" style="9" customWidth="1"/>
    <col min="259" max="259" width="12.42578125" style="9" customWidth="1"/>
    <col min="260" max="265" width="12.7109375" style="9" customWidth="1"/>
    <col min="266" max="266" width="13" style="9" customWidth="1"/>
    <col min="267" max="268" width="12.7109375" style="9" customWidth="1"/>
    <col min="269" max="269" width="9.140625" style="9"/>
    <col min="270" max="270" width="11.140625" style="9" bestFit="1" customWidth="1"/>
    <col min="271" max="509" width="9.140625" style="9"/>
    <col min="510" max="510" width="4" style="9" customWidth="1"/>
    <col min="511" max="511" width="30.7109375" style="9" customWidth="1"/>
    <col min="512" max="513" width="10" style="9" customWidth="1"/>
    <col min="514" max="514" width="9.85546875" style="9" customWidth="1"/>
    <col min="515" max="515" width="12.42578125" style="9" customWidth="1"/>
    <col min="516" max="521" width="12.7109375" style="9" customWidth="1"/>
    <col min="522" max="522" width="13" style="9" customWidth="1"/>
    <col min="523" max="524" width="12.7109375" style="9" customWidth="1"/>
    <col min="525" max="525" width="9.140625" style="9"/>
    <col min="526" max="526" width="11.140625" style="9" bestFit="1" customWidth="1"/>
    <col min="527" max="765" width="9.140625" style="9"/>
    <col min="766" max="766" width="4" style="9" customWidth="1"/>
    <col min="767" max="767" width="30.7109375" style="9" customWidth="1"/>
    <col min="768" max="769" width="10" style="9" customWidth="1"/>
    <col min="770" max="770" width="9.85546875" style="9" customWidth="1"/>
    <col min="771" max="771" width="12.42578125" style="9" customWidth="1"/>
    <col min="772" max="777" width="12.7109375" style="9" customWidth="1"/>
    <col min="778" max="778" width="13" style="9" customWidth="1"/>
    <col min="779" max="780" width="12.7109375" style="9" customWidth="1"/>
    <col min="781" max="781" width="9.140625" style="9"/>
    <col min="782" max="782" width="11.140625" style="9" bestFit="1" customWidth="1"/>
    <col min="783" max="1021" width="9.140625" style="9"/>
    <col min="1022" max="1022" width="4" style="9" customWidth="1"/>
    <col min="1023" max="1023" width="30.7109375" style="9" customWidth="1"/>
    <col min="1024" max="1025" width="10" style="9" customWidth="1"/>
    <col min="1026" max="1026" width="9.85546875" style="9" customWidth="1"/>
    <col min="1027" max="1027" width="12.42578125" style="9" customWidth="1"/>
    <col min="1028" max="1033" width="12.7109375" style="9" customWidth="1"/>
    <col min="1034" max="1034" width="13" style="9" customWidth="1"/>
    <col min="1035" max="1036" width="12.7109375" style="9" customWidth="1"/>
    <col min="1037" max="1037" width="9.140625" style="9"/>
    <col min="1038" max="1038" width="11.140625" style="9" bestFit="1" customWidth="1"/>
    <col min="1039" max="1277" width="9.140625" style="9"/>
    <col min="1278" max="1278" width="4" style="9" customWidth="1"/>
    <col min="1279" max="1279" width="30.7109375" style="9" customWidth="1"/>
    <col min="1280" max="1281" width="10" style="9" customWidth="1"/>
    <col min="1282" max="1282" width="9.85546875" style="9" customWidth="1"/>
    <col min="1283" max="1283" width="12.42578125" style="9" customWidth="1"/>
    <col min="1284" max="1289" width="12.7109375" style="9" customWidth="1"/>
    <col min="1290" max="1290" width="13" style="9" customWidth="1"/>
    <col min="1291" max="1292" width="12.7109375" style="9" customWidth="1"/>
    <col min="1293" max="1293" width="9.140625" style="9"/>
    <col min="1294" max="1294" width="11.140625" style="9" bestFit="1" customWidth="1"/>
    <col min="1295" max="1533" width="9.140625" style="9"/>
    <col min="1534" max="1534" width="4" style="9" customWidth="1"/>
    <col min="1535" max="1535" width="30.7109375" style="9" customWidth="1"/>
    <col min="1536" max="1537" width="10" style="9" customWidth="1"/>
    <col min="1538" max="1538" width="9.85546875" style="9" customWidth="1"/>
    <col min="1539" max="1539" width="12.42578125" style="9" customWidth="1"/>
    <col min="1540" max="1545" width="12.7109375" style="9" customWidth="1"/>
    <col min="1546" max="1546" width="13" style="9" customWidth="1"/>
    <col min="1547" max="1548" width="12.7109375" style="9" customWidth="1"/>
    <col min="1549" max="1549" width="9.140625" style="9"/>
    <col min="1550" max="1550" width="11.140625" style="9" bestFit="1" customWidth="1"/>
    <col min="1551" max="1789" width="9.140625" style="9"/>
    <col min="1790" max="1790" width="4" style="9" customWidth="1"/>
    <col min="1791" max="1791" width="30.7109375" style="9" customWidth="1"/>
    <col min="1792" max="1793" width="10" style="9" customWidth="1"/>
    <col min="1794" max="1794" width="9.85546875" style="9" customWidth="1"/>
    <col min="1795" max="1795" width="12.42578125" style="9" customWidth="1"/>
    <col min="1796" max="1801" width="12.7109375" style="9" customWidth="1"/>
    <col min="1802" max="1802" width="13" style="9" customWidth="1"/>
    <col min="1803" max="1804" width="12.7109375" style="9" customWidth="1"/>
    <col min="1805" max="1805" width="9.140625" style="9"/>
    <col min="1806" max="1806" width="11.140625" style="9" bestFit="1" customWidth="1"/>
    <col min="1807" max="2045" width="9.140625" style="9"/>
    <col min="2046" max="2046" width="4" style="9" customWidth="1"/>
    <col min="2047" max="2047" width="30.7109375" style="9" customWidth="1"/>
    <col min="2048" max="2049" width="10" style="9" customWidth="1"/>
    <col min="2050" max="2050" width="9.85546875" style="9" customWidth="1"/>
    <col min="2051" max="2051" width="12.42578125" style="9" customWidth="1"/>
    <col min="2052" max="2057" width="12.7109375" style="9" customWidth="1"/>
    <col min="2058" max="2058" width="13" style="9" customWidth="1"/>
    <col min="2059" max="2060" width="12.7109375" style="9" customWidth="1"/>
    <col min="2061" max="2061" width="9.140625" style="9"/>
    <col min="2062" max="2062" width="11.140625" style="9" bestFit="1" customWidth="1"/>
    <col min="2063" max="2301" width="9.140625" style="9"/>
    <col min="2302" max="2302" width="4" style="9" customWidth="1"/>
    <col min="2303" max="2303" width="30.7109375" style="9" customWidth="1"/>
    <col min="2304" max="2305" width="10" style="9" customWidth="1"/>
    <col min="2306" max="2306" width="9.85546875" style="9" customWidth="1"/>
    <col min="2307" max="2307" width="12.42578125" style="9" customWidth="1"/>
    <col min="2308" max="2313" width="12.7109375" style="9" customWidth="1"/>
    <col min="2314" max="2314" width="13" style="9" customWidth="1"/>
    <col min="2315" max="2316" width="12.7109375" style="9" customWidth="1"/>
    <col min="2317" max="2317" width="9.140625" style="9"/>
    <col min="2318" max="2318" width="11.140625" style="9" bestFit="1" customWidth="1"/>
    <col min="2319" max="2557" width="9.140625" style="9"/>
    <col min="2558" max="2558" width="4" style="9" customWidth="1"/>
    <col min="2559" max="2559" width="30.7109375" style="9" customWidth="1"/>
    <col min="2560" max="2561" width="10" style="9" customWidth="1"/>
    <col min="2562" max="2562" width="9.85546875" style="9" customWidth="1"/>
    <col min="2563" max="2563" width="12.42578125" style="9" customWidth="1"/>
    <col min="2564" max="2569" width="12.7109375" style="9" customWidth="1"/>
    <col min="2570" max="2570" width="13" style="9" customWidth="1"/>
    <col min="2571" max="2572" width="12.7109375" style="9" customWidth="1"/>
    <col min="2573" max="2573" width="9.140625" style="9"/>
    <col min="2574" max="2574" width="11.140625" style="9" bestFit="1" customWidth="1"/>
    <col min="2575" max="2813" width="9.140625" style="9"/>
    <col min="2814" max="2814" width="4" style="9" customWidth="1"/>
    <col min="2815" max="2815" width="30.7109375" style="9" customWidth="1"/>
    <col min="2816" max="2817" width="10" style="9" customWidth="1"/>
    <col min="2818" max="2818" width="9.85546875" style="9" customWidth="1"/>
    <col min="2819" max="2819" width="12.42578125" style="9" customWidth="1"/>
    <col min="2820" max="2825" width="12.7109375" style="9" customWidth="1"/>
    <col min="2826" max="2826" width="13" style="9" customWidth="1"/>
    <col min="2827" max="2828" width="12.7109375" style="9" customWidth="1"/>
    <col min="2829" max="2829" width="9.140625" style="9"/>
    <col min="2830" max="2830" width="11.140625" style="9" bestFit="1" customWidth="1"/>
    <col min="2831" max="3069" width="9.140625" style="9"/>
    <col min="3070" max="3070" width="4" style="9" customWidth="1"/>
    <col min="3071" max="3071" width="30.7109375" style="9" customWidth="1"/>
    <col min="3072" max="3073" width="10" style="9" customWidth="1"/>
    <col min="3074" max="3074" width="9.85546875" style="9" customWidth="1"/>
    <col min="3075" max="3075" width="12.42578125" style="9" customWidth="1"/>
    <col min="3076" max="3081" width="12.7109375" style="9" customWidth="1"/>
    <col min="3082" max="3082" width="13" style="9" customWidth="1"/>
    <col min="3083" max="3084" width="12.7109375" style="9" customWidth="1"/>
    <col min="3085" max="3085" width="9.140625" style="9"/>
    <col min="3086" max="3086" width="11.140625" style="9" bestFit="1" customWidth="1"/>
    <col min="3087" max="3325" width="9.140625" style="9"/>
    <col min="3326" max="3326" width="4" style="9" customWidth="1"/>
    <col min="3327" max="3327" width="30.7109375" style="9" customWidth="1"/>
    <col min="3328" max="3329" width="10" style="9" customWidth="1"/>
    <col min="3330" max="3330" width="9.85546875" style="9" customWidth="1"/>
    <col min="3331" max="3331" width="12.42578125" style="9" customWidth="1"/>
    <col min="3332" max="3337" width="12.7109375" style="9" customWidth="1"/>
    <col min="3338" max="3338" width="13" style="9" customWidth="1"/>
    <col min="3339" max="3340" width="12.7109375" style="9" customWidth="1"/>
    <col min="3341" max="3341" width="9.140625" style="9"/>
    <col min="3342" max="3342" width="11.140625" style="9" bestFit="1" customWidth="1"/>
    <col min="3343" max="3581" width="9.140625" style="9"/>
    <col min="3582" max="3582" width="4" style="9" customWidth="1"/>
    <col min="3583" max="3583" width="30.7109375" style="9" customWidth="1"/>
    <col min="3584" max="3585" width="10" style="9" customWidth="1"/>
    <col min="3586" max="3586" width="9.85546875" style="9" customWidth="1"/>
    <col min="3587" max="3587" width="12.42578125" style="9" customWidth="1"/>
    <col min="3588" max="3593" width="12.7109375" style="9" customWidth="1"/>
    <col min="3594" max="3594" width="13" style="9" customWidth="1"/>
    <col min="3595" max="3596" width="12.7109375" style="9" customWidth="1"/>
    <col min="3597" max="3597" width="9.140625" style="9"/>
    <col min="3598" max="3598" width="11.140625" style="9" bestFit="1" customWidth="1"/>
    <col min="3599" max="3837" width="9.140625" style="9"/>
    <col min="3838" max="3838" width="4" style="9" customWidth="1"/>
    <col min="3839" max="3839" width="30.7109375" style="9" customWidth="1"/>
    <col min="3840" max="3841" width="10" style="9" customWidth="1"/>
    <col min="3842" max="3842" width="9.85546875" style="9" customWidth="1"/>
    <col min="3843" max="3843" width="12.42578125" style="9" customWidth="1"/>
    <col min="3844" max="3849" width="12.7109375" style="9" customWidth="1"/>
    <col min="3850" max="3850" width="13" style="9" customWidth="1"/>
    <col min="3851" max="3852" width="12.7109375" style="9" customWidth="1"/>
    <col min="3853" max="3853" width="9.140625" style="9"/>
    <col min="3854" max="3854" width="11.140625" style="9" bestFit="1" customWidth="1"/>
    <col min="3855" max="4093" width="9.140625" style="9"/>
    <col min="4094" max="4094" width="4" style="9" customWidth="1"/>
    <col min="4095" max="4095" width="30.7109375" style="9" customWidth="1"/>
    <col min="4096" max="4097" width="10" style="9" customWidth="1"/>
    <col min="4098" max="4098" width="9.85546875" style="9" customWidth="1"/>
    <col min="4099" max="4099" width="12.42578125" style="9" customWidth="1"/>
    <col min="4100" max="4105" width="12.7109375" style="9" customWidth="1"/>
    <col min="4106" max="4106" width="13" style="9" customWidth="1"/>
    <col min="4107" max="4108" width="12.7109375" style="9" customWidth="1"/>
    <col min="4109" max="4109" width="9.140625" style="9"/>
    <col min="4110" max="4110" width="11.140625" style="9" bestFit="1" customWidth="1"/>
    <col min="4111" max="4349" width="9.140625" style="9"/>
    <col min="4350" max="4350" width="4" style="9" customWidth="1"/>
    <col min="4351" max="4351" width="30.7109375" style="9" customWidth="1"/>
    <col min="4352" max="4353" width="10" style="9" customWidth="1"/>
    <col min="4354" max="4354" width="9.85546875" style="9" customWidth="1"/>
    <col min="4355" max="4355" width="12.42578125" style="9" customWidth="1"/>
    <col min="4356" max="4361" width="12.7109375" style="9" customWidth="1"/>
    <col min="4362" max="4362" width="13" style="9" customWidth="1"/>
    <col min="4363" max="4364" width="12.7109375" style="9" customWidth="1"/>
    <col min="4365" max="4365" width="9.140625" style="9"/>
    <col min="4366" max="4366" width="11.140625" style="9" bestFit="1" customWidth="1"/>
    <col min="4367" max="4605" width="9.140625" style="9"/>
    <col min="4606" max="4606" width="4" style="9" customWidth="1"/>
    <col min="4607" max="4607" width="30.7109375" style="9" customWidth="1"/>
    <col min="4608" max="4609" width="10" style="9" customWidth="1"/>
    <col min="4610" max="4610" width="9.85546875" style="9" customWidth="1"/>
    <col min="4611" max="4611" width="12.42578125" style="9" customWidth="1"/>
    <col min="4612" max="4617" width="12.7109375" style="9" customWidth="1"/>
    <col min="4618" max="4618" width="13" style="9" customWidth="1"/>
    <col min="4619" max="4620" width="12.7109375" style="9" customWidth="1"/>
    <col min="4621" max="4621" width="9.140625" style="9"/>
    <col min="4622" max="4622" width="11.140625" style="9" bestFit="1" customWidth="1"/>
    <col min="4623" max="4861" width="9.140625" style="9"/>
    <col min="4862" max="4862" width="4" style="9" customWidth="1"/>
    <col min="4863" max="4863" width="30.7109375" style="9" customWidth="1"/>
    <col min="4864" max="4865" width="10" style="9" customWidth="1"/>
    <col min="4866" max="4866" width="9.85546875" style="9" customWidth="1"/>
    <col min="4867" max="4867" width="12.42578125" style="9" customWidth="1"/>
    <col min="4868" max="4873" width="12.7109375" style="9" customWidth="1"/>
    <col min="4874" max="4874" width="13" style="9" customWidth="1"/>
    <col min="4875" max="4876" width="12.7109375" style="9" customWidth="1"/>
    <col min="4877" max="4877" width="9.140625" style="9"/>
    <col min="4878" max="4878" width="11.140625" style="9" bestFit="1" customWidth="1"/>
    <col min="4879" max="5117" width="9.140625" style="9"/>
    <col min="5118" max="5118" width="4" style="9" customWidth="1"/>
    <col min="5119" max="5119" width="30.7109375" style="9" customWidth="1"/>
    <col min="5120" max="5121" width="10" style="9" customWidth="1"/>
    <col min="5122" max="5122" width="9.85546875" style="9" customWidth="1"/>
    <col min="5123" max="5123" width="12.42578125" style="9" customWidth="1"/>
    <col min="5124" max="5129" width="12.7109375" style="9" customWidth="1"/>
    <col min="5130" max="5130" width="13" style="9" customWidth="1"/>
    <col min="5131" max="5132" width="12.7109375" style="9" customWidth="1"/>
    <col min="5133" max="5133" width="9.140625" style="9"/>
    <col min="5134" max="5134" width="11.140625" style="9" bestFit="1" customWidth="1"/>
    <col min="5135" max="5373" width="9.140625" style="9"/>
    <col min="5374" max="5374" width="4" style="9" customWidth="1"/>
    <col min="5375" max="5375" width="30.7109375" style="9" customWidth="1"/>
    <col min="5376" max="5377" width="10" style="9" customWidth="1"/>
    <col min="5378" max="5378" width="9.85546875" style="9" customWidth="1"/>
    <col min="5379" max="5379" width="12.42578125" style="9" customWidth="1"/>
    <col min="5380" max="5385" width="12.7109375" style="9" customWidth="1"/>
    <col min="5386" max="5386" width="13" style="9" customWidth="1"/>
    <col min="5387" max="5388" width="12.7109375" style="9" customWidth="1"/>
    <col min="5389" max="5389" width="9.140625" style="9"/>
    <col min="5390" max="5390" width="11.140625" style="9" bestFit="1" customWidth="1"/>
    <col min="5391" max="5629" width="9.140625" style="9"/>
    <col min="5630" max="5630" width="4" style="9" customWidth="1"/>
    <col min="5631" max="5631" width="30.7109375" style="9" customWidth="1"/>
    <col min="5632" max="5633" width="10" style="9" customWidth="1"/>
    <col min="5634" max="5634" width="9.85546875" style="9" customWidth="1"/>
    <col min="5635" max="5635" width="12.42578125" style="9" customWidth="1"/>
    <col min="5636" max="5641" width="12.7109375" style="9" customWidth="1"/>
    <col min="5642" max="5642" width="13" style="9" customWidth="1"/>
    <col min="5643" max="5644" width="12.7109375" style="9" customWidth="1"/>
    <col min="5645" max="5645" width="9.140625" style="9"/>
    <col min="5646" max="5646" width="11.140625" style="9" bestFit="1" customWidth="1"/>
    <col min="5647" max="5885" width="9.140625" style="9"/>
    <col min="5886" max="5886" width="4" style="9" customWidth="1"/>
    <col min="5887" max="5887" width="30.7109375" style="9" customWidth="1"/>
    <col min="5888" max="5889" width="10" style="9" customWidth="1"/>
    <col min="5890" max="5890" width="9.85546875" style="9" customWidth="1"/>
    <col min="5891" max="5891" width="12.42578125" style="9" customWidth="1"/>
    <col min="5892" max="5897" width="12.7109375" style="9" customWidth="1"/>
    <col min="5898" max="5898" width="13" style="9" customWidth="1"/>
    <col min="5899" max="5900" width="12.7109375" style="9" customWidth="1"/>
    <col min="5901" max="5901" width="9.140625" style="9"/>
    <col min="5902" max="5902" width="11.140625" style="9" bestFit="1" customWidth="1"/>
    <col min="5903" max="6141" width="9.140625" style="9"/>
    <col min="6142" max="6142" width="4" style="9" customWidth="1"/>
    <col min="6143" max="6143" width="30.7109375" style="9" customWidth="1"/>
    <col min="6144" max="6145" width="10" style="9" customWidth="1"/>
    <col min="6146" max="6146" width="9.85546875" style="9" customWidth="1"/>
    <col min="6147" max="6147" width="12.42578125" style="9" customWidth="1"/>
    <col min="6148" max="6153" width="12.7109375" style="9" customWidth="1"/>
    <col min="6154" max="6154" width="13" style="9" customWidth="1"/>
    <col min="6155" max="6156" width="12.7109375" style="9" customWidth="1"/>
    <col min="6157" max="6157" width="9.140625" style="9"/>
    <col min="6158" max="6158" width="11.140625" style="9" bestFit="1" customWidth="1"/>
    <col min="6159" max="6397" width="9.140625" style="9"/>
    <col min="6398" max="6398" width="4" style="9" customWidth="1"/>
    <col min="6399" max="6399" width="30.7109375" style="9" customWidth="1"/>
    <col min="6400" max="6401" width="10" style="9" customWidth="1"/>
    <col min="6402" max="6402" width="9.85546875" style="9" customWidth="1"/>
    <col min="6403" max="6403" width="12.42578125" style="9" customWidth="1"/>
    <col min="6404" max="6409" width="12.7109375" style="9" customWidth="1"/>
    <col min="6410" max="6410" width="13" style="9" customWidth="1"/>
    <col min="6411" max="6412" width="12.7109375" style="9" customWidth="1"/>
    <col min="6413" max="6413" width="9.140625" style="9"/>
    <col min="6414" max="6414" width="11.140625" style="9" bestFit="1" customWidth="1"/>
    <col min="6415" max="6653" width="9.140625" style="9"/>
    <col min="6654" max="6654" width="4" style="9" customWidth="1"/>
    <col min="6655" max="6655" width="30.7109375" style="9" customWidth="1"/>
    <col min="6656" max="6657" width="10" style="9" customWidth="1"/>
    <col min="6658" max="6658" width="9.85546875" style="9" customWidth="1"/>
    <col min="6659" max="6659" width="12.42578125" style="9" customWidth="1"/>
    <col min="6660" max="6665" width="12.7109375" style="9" customWidth="1"/>
    <col min="6666" max="6666" width="13" style="9" customWidth="1"/>
    <col min="6667" max="6668" width="12.7109375" style="9" customWidth="1"/>
    <col min="6669" max="6669" width="9.140625" style="9"/>
    <col min="6670" max="6670" width="11.140625" style="9" bestFit="1" customWidth="1"/>
    <col min="6671" max="6909" width="9.140625" style="9"/>
    <col min="6910" max="6910" width="4" style="9" customWidth="1"/>
    <col min="6911" max="6911" width="30.7109375" style="9" customWidth="1"/>
    <col min="6912" max="6913" width="10" style="9" customWidth="1"/>
    <col min="6914" max="6914" width="9.85546875" style="9" customWidth="1"/>
    <col min="6915" max="6915" width="12.42578125" style="9" customWidth="1"/>
    <col min="6916" max="6921" width="12.7109375" style="9" customWidth="1"/>
    <col min="6922" max="6922" width="13" style="9" customWidth="1"/>
    <col min="6923" max="6924" width="12.7109375" style="9" customWidth="1"/>
    <col min="6925" max="6925" width="9.140625" style="9"/>
    <col min="6926" max="6926" width="11.140625" style="9" bestFit="1" customWidth="1"/>
    <col min="6927" max="7165" width="9.140625" style="9"/>
    <col min="7166" max="7166" width="4" style="9" customWidth="1"/>
    <col min="7167" max="7167" width="30.7109375" style="9" customWidth="1"/>
    <col min="7168" max="7169" width="10" style="9" customWidth="1"/>
    <col min="7170" max="7170" width="9.85546875" style="9" customWidth="1"/>
    <col min="7171" max="7171" width="12.42578125" style="9" customWidth="1"/>
    <col min="7172" max="7177" width="12.7109375" style="9" customWidth="1"/>
    <col min="7178" max="7178" width="13" style="9" customWidth="1"/>
    <col min="7179" max="7180" width="12.7109375" style="9" customWidth="1"/>
    <col min="7181" max="7181" width="9.140625" style="9"/>
    <col min="7182" max="7182" width="11.140625" style="9" bestFit="1" customWidth="1"/>
    <col min="7183" max="7421" width="9.140625" style="9"/>
    <col min="7422" max="7422" width="4" style="9" customWidth="1"/>
    <col min="7423" max="7423" width="30.7109375" style="9" customWidth="1"/>
    <col min="7424" max="7425" width="10" style="9" customWidth="1"/>
    <col min="7426" max="7426" width="9.85546875" style="9" customWidth="1"/>
    <col min="7427" max="7427" width="12.42578125" style="9" customWidth="1"/>
    <col min="7428" max="7433" width="12.7109375" style="9" customWidth="1"/>
    <col min="7434" max="7434" width="13" style="9" customWidth="1"/>
    <col min="7435" max="7436" width="12.7109375" style="9" customWidth="1"/>
    <col min="7437" max="7437" width="9.140625" style="9"/>
    <col min="7438" max="7438" width="11.140625" style="9" bestFit="1" customWidth="1"/>
    <col min="7439" max="7677" width="9.140625" style="9"/>
    <col min="7678" max="7678" width="4" style="9" customWidth="1"/>
    <col min="7679" max="7679" width="30.7109375" style="9" customWidth="1"/>
    <col min="7680" max="7681" width="10" style="9" customWidth="1"/>
    <col min="7682" max="7682" width="9.85546875" style="9" customWidth="1"/>
    <col min="7683" max="7683" width="12.42578125" style="9" customWidth="1"/>
    <col min="7684" max="7689" width="12.7109375" style="9" customWidth="1"/>
    <col min="7690" max="7690" width="13" style="9" customWidth="1"/>
    <col min="7691" max="7692" width="12.7109375" style="9" customWidth="1"/>
    <col min="7693" max="7693" width="9.140625" style="9"/>
    <col min="7694" max="7694" width="11.140625" style="9" bestFit="1" customWidth="1"/>
    <col min="7695" max="7933" width="9.140625" style="9"/>
    <col min="7934" max="7934" width="4" style="9" customWidth="1"/>
    <col min="7935" max="7935" width="30.7109375" style="9" customWidth="1"/>
    <col min="7936" max="7937" width="10" style="9" customWidth="1"/>
    <col min="7938" max="7938" width="9.85546875" style="9" customWidth="1"/>
    <col min="7939" max="7939" width="12.42578125" style="9" customWidth="1"/>
    <col min="7940" max="7945" width="12.7109375" style="9" customWidth="1"/>
    <col min="7946" max="7946" width="13" style="9" customWidth="1"/>
    <col min="7947" max="7948" width="12.7109375" style="9" customWidth="1"/>
    <col min="7949" max="7949" width="9.140625" style="9"/>
    <col min="7950" max="7950" width="11.140625" style="9" bestFit="1" customWidth="1"/>
    <col min="7951" max="8189" width="9.140625" style="9"/>
    <col min="8190" max="8190" width="4" style="9" customWidth="1"/>
    <col min="8191" max="8191" width="30.7109375" style="9" customWidth="1"/>
    <col min="8192" max="8193" width="10" style="9" customWidth="1"/>
    <col min="8194" max="8194" width="9.85546875" style="9" customWidth="1"/>
    <col min="8195" max="8195" width="12.42578125" style="9" customWidth="1"/>
    <col min="8196" max="8201" width="12.7109375" style="9" customWidth="1"/>
    <col min="8202" max="8202" width="13" style="9" customWidth="1"/>
    <col min="8203" max="8204" width="12.7109375" style="9" customWidth="1"/>
    <col min="8205" max="8205" width="9.140625" style="9"/>
    <col min="8206" max="8206" width="11.140625" style="9" bestFit="1" customWidth="1"/>
    <col min="8207" max="8445" width="9.140625" style="9"/>
    <col min="8446" max="8446" width="4" style="9" customWidth="1"/>
    <col min="8447" max="8447" width="30.7109375" style="9" customWidth="1"/>
    <col min="8448" max="8449" width="10" style="9" customWidth="1"/>
    <col min="8450" max="8450" width="9.85546875" style="9" customWidth="1"/>
    <col min="8451" max="8451" width="12.42578125" style="9" customWidth="1"/>
    <col min="8452" max="8457" width="12.7109375" style="9" customWidth="1"/>
    <col min="8458" max="8458" width="13" style="9" customWidth="1"/>
    <col min="8459" max="8460" width="12.7109375" style="9" customWidth="1"/>
    <col min="8461" max="8461" width="9.140625" style="9"/>
    <col min="8462" max="8462" width="11.140625" style="9" bestFit="1" customWidth="1"/>
    <col min="8463" max="8701" width="9.140625" style="9"/>
    <col min="8702" max="8702" width="4" style="9" customWidth="1"/>
    <col min="8703" max="8703" width="30.7109375" style="9" customWidth="1"/>
    <col min="8704" max="8705" width="10" style="9" customWidth="1"/>
    <col min="8706" max="8706" width="9.85546875" style="9" customWidth="1"/>
    <col min="8707" max="8707" width="12.42578125" style="9" customWidth="1"/>
    <col min="8708" max="8713" width="12.7109375" style="9" customWidth="1"/>
    <col min="8714" max="8714" width="13" style="9" customWidth="1"/>
    <col min="8715" max="8716" width="12.7109375" style="9" customWidth="1"/>
    <col min="8717" max="8717" width="9.140625" style="9"/>
    <col min="8718" max="8718" width="11.140625" style="9" bestFit="1" customWidth="1"/>
    <col min="8719" max="8957" width="9.140625" style="9"/>
    <col min="8958" max="8958" width="4" style="9" customWidth="1"/>
    <col min="8959" max="8959" width="30.7109375" style="9" customWidth="1"/>
    <col min="8960" max="8961" width="10" style="9" customWidth="1"/>
    <col min="8962" max="8962" width="9.85546875" style="9" customWidth="1"/>
    <col min="8963" max="8963" width="12.42578125" style="9" customWidth="1"/>
    <col min="8964" max="8969" width="12.7109375" style="9" customWidth="1"/>
    <col min="8970" max="8970" width="13" style="9" customWidth="1"/>
    <col min="8971" max="8972" width="12.7109375" style="9" customWidth="1"/>
    <col min="8973" max="8973" width="9.140625" style="9"/>
    <col min="8974" max="8974" width="11.140625" style="9" bestFit="1" customWidth="1"/>
    <col min="8975" max="9213" width="9.140625" style="9"/>
    <col min="9214" max="9214" width="4" style="9" customWidth="1"/>
    <col min="9215" max="9215" width="30.7109375" style="9" customWidth="1"/>
    <col min="9216" max="9217" width="10" style="9" customWidth="1"/>
    <col min="9218" max="9218" width="9.85546875" style="9" customWidth="1"/>
    <col min="9219" max="9219" width="12.42578125" style="9" customWidth="1"/>
    <col min="9220" max="9225" width="12.7109375" style="9" customWidth="1"/>
    <col min="9226" max="9226" width="13" style="9" customWidth="1"/>
    <col min="9227" max="9228" width="12.7109375" style="9" customWidth="1"/>
    <col min="9229" max="9229" width="9.140625" style="9"/>
    <col min="9230" max="9230" width="11.140625" style="9" bestFit="1" customWidth="1"/>
    <col min="9231" max="9469" width="9.140625" style="9"/>
    <col min="9470" max="9470" width="4" style="9" customWidth="1"/>
    <col min="9471" max="9471" width="30.7109375" style="9" customWidth="1"/>
    <col min="9472" max="9473" width="10" style="9" customWidth="1"/>
    <col min="9474" max="9474" width="9.85546875" style="9" customWidth="1"/>
    <col min="9475" max="9475" width="12.42578125" style="9" customWidth="1"/>
    <col min="9476" max="9481" width="12.7109375" style="9" customWidth="1"/>
    <col min="9482" max="9482" width="13" style="9" customWidth="1"/>
    <col min="9483" max="9484" width="12.7109375" style="9" customWidth="1"/>
    <col min="9485" max="9485" width="9.140625" style="9"/>
    <col min="9486" max="9486" width="11.140625" style="9" bestFit="1" customWidth="1"/>
    <col min="9487" max="9725" width="9.140625" style="9"/>
    <col min="9726" max="9726" width="4" style="9" customWidth="1"/>
    <col min="9727" max="9727" width="30.7109375" style="9" customWidth="1"/>
    <col min="9728" max="9729" width="10" style="9" customWidth="1"/>
    <col min="9730" max="9730" width="9.85546875" style="9" customWidth="1"/>
    <col min="9731" max="9731" width="12.42578125" style="9" customWidth="1"/>
    <col min="9732" max="9737" width="12.7109375" style="9" customWidth="1"/>
    <col min="9738" max="9738" width="13" style="9" customWidth="1"/>
    <col min="9739" max="9740" width="12.7109375" style="9" customWidth="1"/>
    <col min="9741" max="9741" width="9.140625" style="9"/>
    <col min="9742" max="9742" width="11.140625" style="9" bestFit="1" customWidth="1"/>
    <col min="9743" max="9981" width="9.140625" style="9"/>
    <col min="9982" max="9982" width="4" style="9" customWidth="1"/>
    <col min="9983" max="9983" width="30.7109375" style="9" customWidth="1"/>
    <col min="9984" max="9985" width="10" style="9" customWidth="1"/>
    <col min="9986" max="9986" width="9.85546875" style="9" customWidth="1"/>
    <col min="9987" max="9987" width="12.42578125" style="9" customWidth="1"/>
    <col min="9988" max="9993" width="12.7109375" style="9" customWidth="1"/>
    <col min="9994" max="9994" width="13" style="9" customWidth="1"/>
    <col min="9995" max="9996" width="12.7109375" style="9" customWidth="1"/>
    <col min="9997" max="9997" width="9.140625" style="9"/>
    <col min="9998" max="9998" width="11.140625" style="9" bestFit="1" customWidth="1"/>
    <col min="9999" max="10237" width="9.140625" style="9"/>
    <col min="10238" max="10238" width="4" style="9" customWidth="1"/>
    <col min="10239" max="10239" width="30.7109375" style="9" customWidth="1"/>
    <col min="10240" max="10241" width="10" style="9" customWidth="1"/>
    <col min="10242" max="10242" width="9.85546875" style="9" customWidth="1"/>
    <col min="10243" max="10243" width="12.42578125" style="9" customWidth="1"/>
    <col min="10244" max="10249" width="12.7109375" style="9" customWidth="1"/>
    <col min="10250" max="10250" width="13" style="9" customWidth="1"/>
    <col min="10251" max="10252" width="12.7109375" style="9" customWidth="1"/>
    <col min="10253" max="10253" width="9.140625" style="9"/>
    <col min="10254" max="10254" width="11.140625" style="9" bestFit="1" customWidth="1"/>
    <col min="10255" max="10493" width="9.140625" style="9"/>
    <col min="10494" max="10494" width="4" style="9" customWidth="1"/>
    <col min="10495" max="10495" width="30.7109375" style="9" customWidth="1"/>
    <col min="10496" max="10497" width="10" style="9" customWidth="1"/>
    <col min="10498" max="10498" width="9.85546875" style="9" customWidth="1"/>
    <col min="10499" max="10499" width="12.42578125" style="9" customWidth="1"/>
    <col min="10500" max="10505" width="12.7109375" style="9" customWidth="1"/>
    <col min="10506" max="10506" width="13" style="9" customWidth="1"/>
    <col min="10507" max="10508" width="12.7109375" style="9" customWidth="1"/>
    <col min="10509" max="10509" width="9.140625" style="9"/>
    <col min="10510" max="10510" width="11.140625" style="9" bestFit="1" customWidth="1"/>
    <col min="10511" max="10749" width="9.140625" style="9"/>
    <col min="10750" max="10750" width="4" style="9" customWidth="1"/>
    <col min="10751" max="10751" width="30.7109375" style="9" customWidth="1"/>
    <col min="10752" max="10753" width="10" style="9" customWidth="1"/>
    <col min="10754" max="10754" width="9.85546875" style="9" customWidth="1"/>
    <col min="10755" max="10755" width="12.42578125" style="9" customWidth="1"/>
    <col min="10756" max="10761" width="12.7109375" style="9" customWidth="1"/>
    <col min="10762" max="10762" width="13" style="9" customWidth="1"/>
    <col min="10763" max="10764" width="12.7109375" style="9" customWidth="1"/>
    <col min="10765" max="10765" width="9.140625" style="9"/>
    <col min="10766" max="10766" width="11.140625" style="9" bestFit="1" customWidth="1"/>
    <col min="10767" max="11005" width="9.140625" style="9"/>
    <col min="11006" max="11006" width="4" style="9" customWidth="1"/>
    <col min="11007" max="11007" width="30.7109375" style="9" customWidth="1"/>
    <col min="11008" max="11009" width="10" style="9" customWidth="1"/>
    <col min="11010" max="11010" width="9.85546875" style="9" customWidth="1"/>
    <col min="11011" max="11011" width="12.42578125" style="9" customWidth="1"/>
    <col min="11012" max="11017" width="12.7109375" style="9" customWidth="1"/>
    <col min="11018" max="11018" width="13" style="9" customWidth="1"/>
    <col min="11019" max="11020" width="12.7109375" style="9" customWidth="1"/>
    <col min="11021" max="11021" width="9.140625" style="9"/>
    <col min="11022" max="11022" width="11.140625" style="9" bestFit="1" customWidth="1"/>
    <col min="11023" max="11261" width="9.140625" style="9"/>
    <col min="11262" max="11262" width="4" style="9" customWidth="1"/>
    <col min="11263" max="11263" width="30.7109375" style="9" customWidth="1"/>
    <col min="11264" max="11265" width="10" style="9" customWidth="1"/>
    <col min="11266" max="11266" width="9.85546875" style="9" customWidth="1"/>
    <col min="11267" max="11267" width="12.42578125" style="9" customWidth="1"/>
    <col min="11268" max="11273" width="12.7109375" style="9" customWidth="1"/>
    <col min="11274" max="11274" width="13" style="9" customWidth="1"/>
    <col min="11275" max="11276" width="12.7109375" style="9" customWidth="1"/>
    <col min="11277" max="11277" width="9.140625" style="9"/>
    <col min="11278" max="11278" width="11.140625" style="9" bestFit="1" customWidth="1"/>
    <col min="11279" max="11517" width="9.140625" style="9"/>
    <col min="11518" max="11518" width="4" style="9" customWidth="1"/>
    <col min="11519" max="11519" width="30.7109375" style="9" customWidth="1"/>
    <col min="11520" max="11521" width="10" style="9" customWidth="1"/>
    <col min="11522" max="11522" width="9.85546875" style="9" customWidth="1"/>
    <col min="11523" max="11523" width="12.42578125" style="9" customWidth="1"/>
    <col min="11524" max="11529" width="12.7109375" style="9" customWidth="1"/>
    <col min="11530" max="11530" width="13" style="9" customWidth="1"/>
    <col min="11531" max="11532" width="12.7109375" style="9" customWidth="1"/>
    <col min="11533" max="11533" width="9.140625" style="9"/>
    <col min="11534" max="11534" width="11.140625" style="9" bestFit="1" customWidth="1"/>
    <col min="11535" max="11773" width="9.140625" style="9"/>
    <col min="11774" max="11774" width="4" style="9" customWidth="1"/>
    <col min="11775" max="11775" width="30.7109375" style="9" customWidth="1"/>
    <col min="11776" max="11777" width="10" style="9" customWidth="1"/>
    <col min="11778" max="11778" width="9.85546875" style="9" customWidth="1"/>
    <col min="11779" max="11779" width="12.42578125" style="9" customWidth="1"/>
    <col min="11780" max="11785" width="12.7109375" style="9" customWidth="1"/>
    <col min="11786" max="11786" width="13" style="9" customWidth="1"/>
    <col min="11787" max="11788" width="12.7109375" style="9" customWidth="1"/>
    <col min="11789" max="11789" width="9.140625" style="9"/>
    <col min="11790" max="11790" width="11.140625" style="9" bestFit="1" customWidth="1"/>
    <col min="11791" max="12029" width="9.140625" style="9"/>
    <col min="12030" max="12030" width="4" style="9" customWidth="1"/>
    <col min="12031" max="12031" width="30.7109375" style="9" customWidth="1"/>
    <col min="12032" max="12033" width="10" style="9" customWidth="1"/>
    <col min="12034" max="12034" width="9.85546875" style="9" customWidth="1"/>
    <col min="12035" max="12035" width="12.42578125" style="9" customWidth="1"/>
    <col min="12036" max="12041" width="12.7109375" style="9" customWidth="1"/>
    <col min="12042" max="12042" width="13" style="9" customWidth="1"/>
    <col min="12043" max="12044" width="12.7109375" style="9" customWidth="1"/>
    <col min="12045" max="12045" width="9.140625" style="9"/>
    <col min="12046" max="12046" width="11.140625" style="9" bestFit="1" customWidth="1"/>
    <col min="12047" max="12285" width="9.140625" style="9"/>
    <col min="12286" max="12286" width="4" style="9" customWidth="1"/>
    <col min="12287" max="12287" width="30.7109375" style="9" customWidth="1"/>
    <col min="12288" max="12289" width="10" style="9" customWidth="1"/>
    <col min="12290" max="12290" width="9.85546875" style="9" customWidth="1"/>
    <col min="12291" max="12291" width="12.42578125" style="9" customWidth="1"/>
    <col min="12292" max="12297" width="12.7109375" style="9" customWidth="1"/>
    <col min="12298" max="12298" width="13" style="9" customWidth="1"/>
    <col min="12299" max="12300" width="12.7109375" style="9" customWidth="1"/>
    <col min="12301" max="12301" width="9.140625" style="9"/>
    <col min="12302" max="12302" width="11.140625" style="9" bestFit="1" customWidth="1"/>
    <col min="12303" max="12541" width="9.140625" style="9"/>
    <col min="12542" max="12542" width="4" style="9" customWidth="1"/>
    <col min="12543" max="12543" width="30.7109375" style="9" customWidth="1"/>
    <col min="12544" max="12545" width="10" style="9" customWidth="1"/>
    <col min="12546" max="12546" width="9.85546875" style="9" customWidth="1"/>
    <col min="12547" max="12547" width="12.42578125" style="9" customWidth="1"/>
    <col min="12548" max="12553" width="12.7109375" style="9" customWidth="1"/>
    <col min="12554" max="12554" width="13" style="9" customWidth="1"/>
    <col min="12555" max="12556" width="12.7109375" style="9" customWidth="1"/>
    <col min="12557" max="12557" width="9.140625" style="9"/>
    <col min="12558" max="12558" width="11.140625" style="9" bestFit="1" customWidth="1"/>
    <col min="12559" max="12797" width="9.140625" style="9"/>
    <col min="12798" max="12798" width="4" style="9" customWidth="1"/>
    <col min="12799" max="12799" width="30.7109375" style="9" customWidth="1"/>
    <col min="12800" max="12801" width="10" style="9" customWidth="1"/>
    <col min="12802" max="12802" width="9.85546875" style="9" customWidth="1"/>
    <col min="12803" max="12803" width="12.42578125" style="9" customWidth="1"/>
    <col min="12804" max="12809" width="12.7109375" style="9" customWidth="1"/>
    <col min="12810" max="12810" width="13" style="9" customWidth="1"/>
    <col min="12811" max="12812" width="12.7109375" style="9" customWidth="1"/>
    <col min="12813" max="12813" width="9.140625" style="9"/>
    <col min="12814" max="12814" width="11.140625" style="9" bestFit="1" customWidth="1"/>
    <col min="12815" max="13053" width="9.140625" style="9"/>
    <col min="13054" max="13054" width="4" style="9" customWidth="1"/>
    <col min="13055" max="13055" width="30.7109375" style="9" customWidth="1"/>
    <col min="13056" max="13057" width="10" style="9" customWidth="1"/>
    <col min="13058" max="13058" width="9.85546875" style="9" customWidth="1"/>
    <col min="13059" max="13059" width="12.42578125" style="9" customWidth="1"/>
    <col min="13060" max="13065" width="12.7109375" style="9" customWidth="1"/>
    <col min="13066" max="13066" width="13" style="9" customWidth="1"/>
    <col min="13067" max="13068" width="12.7109375" style="9" customWidth="1"/>
    <col min="13069" max="13069" width="9.140625" style="9"/>
    <col min="13070" max="13070" width="11.140625" style="9" bestFit="1" customWidth="1"/>
    <col min="13071" max="13309" width="9.140625" style="9"/>
    <col min="13310" max="13310" width="4" style="9" customWidth="1"/>
    <col min="13311" max="13311" width="30.7109375" style="9" customWidth="1"/>
    <col min="13312" max="13313" width="10" style="9" customWidth="1"/>
    <col min="13314" max="13314" width="9.85546875" style="9" customWidth="1"/>
    <col min="13315" max="13315" width="12.42578125" style="9" customWidth="1"/>
    <col min="13316" max="13321" width="12.7109375" style="9" customWidth="1"/>
    <col min="13322" max="13322" width="13" style="9" customWidth="1"/>
    <col min="13323" max="13324" width="12.7109375" style="9" customWidth="1"/>
    <col min="13325" max="13325" width="9.140625" style="9"/>
    <col min="13326" max="13326" width="11.140625" style="9" bestFit="1" customWidth="1"/>
    <col min="13327" max="13565" width="9.140625" style="9"/>
    <col min="13566" max="13566" width="4" style="9" customWidth="1"/>
    <col min="13567" max="13567" width="30.7109375" style="9" customWidth="1"/>
    <col min="13568" max="13569" width="10" style="9" customWidth="1"/>
    <col min="13570" max="13570" width="9.85546875" style="9" customWidth="1"/>
    <col min="13571" max="13571" width="12.42578125" style="9" customWidth="1"/>
    <col min="13572" max="13577" width="12.7109375" style="9" customWidth="1"/>
    <col min="13578" max="13578" width="13" style="9" customWidth="1"/>
    <col min="13579" max="13580" width="12.7109375" style="9" customWidth="1"/>
    <col min="13581" max="13581" width="9.140625" style="9"/>
    <col min="13582" max="13582" width="11.140625" style="9" bestFit="1" customWidth="1"/>
    <col min="13583" max="13821" width="9.140625" style="9"/>
    <col min="13822" max="13822" width="4" style="9" customWidth="1"/>
    <col min="13823" max="13823" width="30.7109375" style="9" customWidth="1"/>
    <col min="13824" max="13825" width="10" style="9" customWidth="1"/>
    <col min="13826" max="13826" width="9.85546875" style="9" customWidth="1"/>
    <col min="13827" max="13827" width="12.42578125" style="9" customWidth="1"/>
    <col min="13828" max="13833" width="12.7109375" style="9" customWidth="1"/>
    <col min="13834" max="13834" width="13" style="9" customWidth="1"/>
    <col min="13835" max="13836" width="12.7109375" style="9" customWidth="1"/>
    <col min="13837" max="13837" width="9.140625" style="9"/>
    <col min="13838" max="13838" width="11.140625" style="9" bestFit="1" customWidth="1"/>
    <col min="13839" max="14077" width="9.140625" style="9"/>
    <col min="14078" max="14078" width="4" style="9" customWidth="1"/>
    <col min="14079" max="14079" width="30.7109375" style="9" customWidth="1"/>
    <col min="14080" max="14081" width="10" style="9" customWidth="1"/>
    <col min="14082" max="14082" width="9.85546875" style="9" customWidth="1"/>
    <col min="14083" max="14083" width="12.42578125" style="9" customWidth="1"/>
    <col min="14084" max="14089" width="12.7109375" style="9" customWidth="1"/>
    <col min="14090" max="14090" width="13" style="9" customWidth="1"/>
    <col min="14091" max="14092" width="12.7109375" style="9" customWidth="1"/>
    <col min="14093" max="14093" width="9.140625" style="9"/>
    <col min="14094" max="14094" width="11.140625" style="9" bestFit="1" customWidth="1"/>
    <col min="14095" max="14333" width="9.140625" style="9"/>
    <col min="14334" max="14334" width="4" style="9" customWidth="1"/>
    <col min="14335" max="14335" width="30.7109375" style="9" customWidth="1"/>
    <col min="14336" max="14337" width="10" style="9" customWidth="1"/>
    <col min="14338" max="14338" width="9.85546875" style="9" customWidth="1"/>
    <col min="14339" max="14339" width="12.42578125" style="9" customWidth="1"/>
    <col min="14340" max="14345" width="12.7109375" style="9" customWidth="1"/>
    <col min="14346" max="14346" width="13" style="9" customWidth="1"/>
    <col min="14347" max="14348" width="12.7109375" style="9" customWidth="1"/>
    <col min="14349" max="14349" width="9.140625" style="9"/>
    <col min="14350" max="14350" width="11.140625" style="9" bestFit="1" customWidth="1"/>
    <col min="14351" max="14589" width="9.140625" style="9"/>
    <col min="14590" max="14590" width="4" style="9" customWidth="1"/>
    <col min="14591" max="14591" width="30.7109375" style="9" customWidth="1"/>
    <col min="14592" max="14593" width="10" style="9" customWidth="1"/>
    <col min="14594" max="14594" width="9.85546875" style="9" customWidth="1"/>
    <col min="14595" max="14595" width="12.42578125" style="9" customWidth="1"/>
    <col min="14596" max="14601" width="12.7109375" style="9" customWidth="1"/>
    <col min="14602" max="14602" width="13" style="9" customWidth="1"/>
    <col min="14603" max="14604" width="12.7109375" style="9" customWidth="1"/>
    <col min="14605" max="14605" width="9.140625" style="9"/>
    <col min="14606" max="14606" width="11.140625" style="9" bestFit="1" customWidth="1"/>
    <col min="14607" max="14845" width="9.140625" style="9"/>
    <col min="14846" max="14846" width="4" style="9" customWidth="1"/>
    <col min="14847" max="14847" width="30.7109375" style="9" customWidth="1"/>
    <col min="14848" max="14849" width="10" style="9" customWidth="1"/>
    <col min="14850" max="14850" width="9.85546875" style="9" customWidth="1"/>
    <col min="14851" max="14851" width="12.42578125" style="9" customWidth="1"/>
    <col min="14852" max="14857" width="12.7109375" style="9" customWidth="1"/>
    <col min="14858" max="14858" width="13" style="9" customWidth="1"/>
    <col min="14859" max="14860" width="12.7109375" style="9" customWidth="1"/>
    <col min="14861" max="14861" width="9.140625" style="9"/>
    <col min="14862" max="14862" width="11.140625" style="9" bestFit="1" customWidth="1"/>
    <col min="14863" max="15101" width="9.140625" style="9"/>
    <col min="15102" max="15102" width="4" style="9" customWidth="1"/>
    <col min="15103" max="15103" width="30.7109375" style="9" customWidth="1"/>
    <col min="15104" max="15105" width="10" style="9" customWidth="1"/>
    <col min="15106" max="15106" width="9.85546875" style="9" customWidth="1"/>
    <col min="15107" max="15107" width="12.42578125" style="9" customWidth="1"/>
    <col min="15108" max="15113" width="12.7109375" style="9" customWidth="1"/>
    <col min="15114" max="15114" width="13" style="9" customWidth="1"/>
    <col min="15115" max="15116" width="12.7109375" style="9" customWidth="1"/>
    <col min="15117" max="15117" width="9.140625" style="9"/>
    <col min="15118" max="15118" width="11.140625" style="9" bestFit="1" customWidth="1"/>
    <col min="15119" max="15357" width="9.140625" style="9"/>
    <col min="15358" max="15358" width="4" style="9" customWidth="1"/>
    <col min="15359" max="15359" width="30.7109375" style="9" customWidth="1"/>
    <col min="15360" max="15361" width="10" style="9" customWidth="1"/>
    <col min="15362" max="15362" width="9.85546875" style="9" customWidth="1"/>
    <col min="15363" max="15363" width="12.42578125" style="9" customWidth="1"/>
    <col min="15364" max="15369" width="12.7109375" style="9" customWidth="1"/>
    <col min="15370" max="15370" width="13" style="9" customWidth="1"/>
    <col min="15371" max="15372" width="12.7109375" style="9" customWidth="1"/>
    <col min="15373" max="15373" width="9.140625" style="9"/>
    <col min="15374" max="15374" width="11.140625" style="9" bestFit="1" customWidth="1"/>
    <col min="15375" max="15613" width="9.140625" style="9"/>
    <col min="15614" max="15614" width="4" style="9" customWidth="1"/>
    <col min="15615" max="15615" width="30.7109375" style="9" customWidth="1"/>
    <col min="15616" max="15617" width="10" style="9" customWidth="1"/>
    <col min="15618" max="15618" width="9.85546875" style="9" customWidth="1"/>
    <col min="15619" max="15619" width="12.42578125" style="9" customWidth="1"/>
    <col min="15620" max="15625" width="12.7109375" style="9" customWidth="1"/>
    <col min="15626" max="15626" width="13" style="9" customWidth="1"/>
    <col min="15627" max="15628" width="12.7109375" style="9" customWidth="1"/>
    <col min="15629" max="15629" width="9.140625" style="9"/>
    <col min="15630" max="15630" width="11.140625" style="9" bestFit="1" customWidth="1"/>
    <col min="15631" max="15869" width="9.140625" style="9"/>
    <col min="15870" max="15870" width="4" style="9" customWidth="1"/>
    <col min="15871" max="15871" width="30.7109375" style="9" customWidth="1"/>
    <col min="15872" max="15873" width="10" style="9" customWidth="1"/>
    <col min="15874" max="15874" width="9.85546875" style="9" customWidth="1"/>
    <col min="15875" max="15875" width="12.42578125" style="9" customWidth="1"/>
    <col min="15876" max="15881" width="12.7109375" style="9" customWidth="1"/>
    <col min="15882" max="15882" width="13" style="9" customWidth="1"/>
    <col min="15883" max="15884" width="12.7109375" style="9" customWidth="1"/>
    <col min="15885" max="15885" width="9.140625" style="9"/>
    <col min="15886" max="15886" width="11.140625" style="9" bestFit="1" customWidth="1"/>
    <col min="15887" max="16125" width="9.140625" style="9"/>
    <col min="16126" max="16126" width="4" style="9" customWidth="1"/>
    <col min="16127" max="16127" width="30.7109375" style="9" customWidth="1"/>
    <col min="16128" max="16129" width="10" style="9" customWidth="1"/>
    <col min="16130" max="16130" width="9.85546875" style="9" customWidth="1"/>
    <col min="16131" max="16131" width="12.42578125" style="9" customWidth="1"/>
    <col min="16132" max="16137" width="12.7109375" style="9" customWidth="1"/>
    <col min="16138" max="16138" width="13" style="9" customWidth="1"/>
    <col min="16139" max="16140" width="12.7109375" style="9" customWidth="1"/>
    <col min="16141" max="16141" width="9.140625" style="9"/>
    <col min="16142" max="16142" width="11.140625" style="9" bestFit="1" customWidth="1"/>
    <col min="16143" max="16384" width="9.140625" style="9"/>
  </cols>
  <sheetData>
    <row r="1" spans="1:15" s="7" customFormat="1" ht="13.5" thickBot="1">
      <c r="A1" s="7" t="s">
        <v>15</v>
      </c>
      <c r="B1" s="8"/>
      <c r="D1" s="8"/>
    </row>
    <row r="2" spans="1:15" ht="23.25" thickBot="1">
      <c r="A2" s="1875" t="s">
        <v>16</v>
      </c>
      <c r="B2" s="1876"/>
      <c r="C2" s="1876"/>
      <c r="D2" s="1876"/>
      <c r="E2" s="1876"/>
      <c r="F2" s="1876"/>
      <c r="G2" s="1876"/>
      <c r="H2" s="1876"/>
      <c r="I2" s="1876"/>
      <c r="J2" s="1876"/>
      <c r="K2" s="1876"/>
      <c r="L2" s="1876"/>
    </row>
    <row r="3" spans="1:15" ht="16.5" thickBot="1">
      <c r="A3" s="1877" t="s">
        <v>17</v>
      </c>
      <c r="B3" s="1878"/>
      <c r="C3" s="1878"/>
      <c r="D3" s="1878"/>
      <c r="E3" s="1878"/>
      <c r="F3" s="1878"/>
      <c r="G3" s="1878"/>
      <c r="H3" s="1878"/>
      <c r="I3" s="1878"/>
      <c r="J3" s="1878"/>
      <c r="K3" s="1878"/>
      <c r="L3" s="1878"/>
    </row>
    <row r="4" spans="1:15" ht="25.5">
      <c r="A4" s="10" t="s">
        <v>18</v>
      </c>
      <c r="B4" s="11"/>
      <c r="C4" s="12" t="s">
        <v>19</v>
      </c>
      <c r="D4" s="12"/>
      <c r="E4" s="13"/>
      <c r="F4" s="1879" t="s">
        <v>20</v>
      </c>
      <c r="G4" s="1881"/>
      <c r="H4" s="1882"/>
      <c r="I4" s="14" t="s">
        <v>21</v>
      </c>
      <c r="J4" s="354"/>
      <c r="K4" s="16" t="s">
        <v>22</v>
      </c>
      <c r="L4" s="17" t="s">
        <v>23</v>
      </c>
    </row>
    <row r="5" spans="1:15" ht="26.25" thickBot="1">
      <c r="A5" s="19" t="s">
        <v>26</v>
      </c>
      <c r="B5" s="20"/>
      <c r="C5" s="21" t="s">
        <v>27</v>
      </c>
      <c r="D5" s="21"/>
      <c r="E5" s="22"/>
      <c r="F5" s="1880"/>
      <c r="G5" s="1883"/>
      <c r="H5" s="1884"/>
      <c r="I5" s="23" t="s">
        <v>28</v>
      </c>
      <c r="J5" s="354"/>
      <c r="K5" s="24" t="s">
        <v>29</v>
      </c>
      <c r="L5" s="25"/>
      <c r="M5" s="25" t="s">
        <v>18</v>
      </c>
      <c r="N5" s="25" t="s">
        <v>31</v>
      </c>
    </row>
    <row r="6" spans="1:15" ht="13.5" thickBot="1">
      <c r="A6" s="26"/>
      <c r="B6" s="27"/>
      <c r="E6" s="28"/>
      <c r="F6" s="355"/>
      <c r="G6" s="30"/>
      <c r="H6" s="28"/>
      <c r="I6" s="31"/>
      <c r="J6" s="28"/>
      <c r="K6" s="31"/>
      <c r="L6" s="28"/>
    </row>
    <row r="7" spans="1:15" ht="31.5" customHeight="1" thickBot="1">
      <c r="A7" s="1946" t="s">
        <v>32</v>
      </c>
      <c r="B7" s="1888" t="s">
        <v>33</v>
      </c>
      <c r="C7" s="1890" t="s">
        <v>34</v>
      </c>
      <c r="D7" s="217"/>
      <c r="E7" s="1892" t="s">
        <v>35</v>
      </c>
      <c r="F7" s="1836" t="s">
        <v>36</v>
      </c>
      <c r="G7" s="1950" t="s">
        <v>293</v>
      </c>
      <c r="H7" s="1951"/>
      <c r="I7" s="1950" t="s">
        <v>294</v>
      </c>
      <c r="J7" s="1951"/>
      <c r="K7" s="1872" t="s">
        <v>295</v>
      </c>
      <c r="L7" s="1955"/>
    </row>
    <row r="8" spans="1:15" ht="19.5" customHeight="1">
      <c r="A8" s="1947"/>
      <c r="B8" s="1889"/>
      <c r="C8" s="1891"/>
      <c r="D8" s="218"/>
      <c r="E8" s="1893"/>
      <c r="F8" s="1837"/>
      <c r="G8" s="1874" t="s">
        <v>296</v>
      </c>
      <c r="H8" s="1874"/>
      <c r="I8" s="1874" t="s">
        <v>297</v>
      </c>
      <c r="J8" s="1874"/>
      <c r="K8" s="1874" t="s">
        <v>298</v>
      </c>
      <c r="L8" s="1874"/>
    </row>
    <row r="9" spans="1:15" ht="21.75" customHeight="1" thickBot="1">
      <c r="A9" s="1947"/>
      <c r="B9" s="1889"/>
      <c r="C9" s="1891"/>
      <c r="D9" s="218"/>
      <c r="E9" s="1893"/>
      <c r="F9" s="1837"/>
      <c r="G9" s="1874"/>
      <c r="H9" s="1874"/>
      <c r="I9" s="1874"/>
      <c r="J9" s="1874"/>
      <c r="K9" s="1874"/>
      <c r="L9" s="1874"/>
      <c r="M9" s="219"/>
    </row>
    <row r="10" spans="1:15" ht="39" customHeight="1" thickBot="1">
      <c r="A10" s="1947"/>
      <c r="B10" s="1889"/>
      <c r="C10" s="1891"/>
      <c r="D10" s="218"/>
      <c r="E10" s="1893"/>
      <c r="F10" s="1837"/>
      <c r="G10" s="1868" t="s">
        <v>299</v>
      </c>
      <c r="H10" s="1869"/>
      <c r="I10" s="1961" t="s">
        <v>300</v>
      </c>
      <c r="J10" s="1951"/>
      <c r="K10" s="1978" t="s">
        <v>301</v>
      </c>
      <c r="L10" s="1979"/>
      <c r="O10" s="220"/>
    </row>
    <row r="11" spans="1:15" ht="13.5" thickBot="1">
      <c r="A11" s="1947"/>
      <c r="B11" s="1889"/>
      <c r="C11" s="1891"/>
      <c r="D11" s="218"/>
      <c r="E11" s="1893"/>
      <c r="F11" s="1837"/>
      <c r="G11" s="1870" t="s">
        <v>46</v>
      </c>
      <c r="H11" s="1871"/>
      <c r="I11" s="1870" t="s">
        <v>46</v>
      </c>
      <c r="J11" s="1871"/>
      <c r="K11" s="1870"/>
      <c r="L11" s="1871"/>
      <c r="M11" s="219"/>
    </row>
    <row r="12" spans="1:15">
      <c r="A12" s="1947"/>
      <c r="B12" s="1889"/>
      <c r="C12" s="1891"/>
      <c r="D12" s="218"/>
      <c r="E12" s="1893"/>
      <c r="F12" s="1837"/>
      <c r="G12" s="34" t="s">
        <v>47</v>
      </c>
      <c r="H12" s="35" t="s">
        <v>48</v>
      </c>
      <c r="I12" s="34" t="s">
        <v>47</v>
      </c>
      <c r="J12" s="35" t="s">
        <v>48</v>
      </c>
      <c r="K12" s="34"/>
      <c r="L12" s="35"/>
    </row>
    <row r="13" spans="1:15" ht="15.75">
      <c r="A13" s="296"/>
      <c r="B13" s="356"/>
      <c r="C13" s="357"/>
      <c r="D13" s="357"/>
      <c r="E13" s="358"/>
      <c r="F13" s="357"/>
      <c r="G13" s="359"/>
      <c r="H13" s="357"/>
      <c r="I13" s="357"/>
      <c r="J13" s="357"/>
      <c r="K13" s="357"/>
      <c r="L13" s="357"/>
    </row>
    <row r="14" spans="1:15" ht="25.5">
      <c r="A14" s="266">
        <v>10</v>
      </c>
      <c r="B14" s="235" t="s">
        <v>302</v>
      </c>
      <c r="C14" s="360">
        <v>80.5</v>
      </c>
      <c r="D14" s="361" t="s">
        <v>303</v>
      </c>
      <c r="E14" s="235" t="s">
        <v>192</v>
      </c>
      <c r="F14" s="342">
        <v>25</v>
      </c>
      <c r="G14" s="266">
        <v>26</v>
      </c>
      <c r="H14" s="362">
        <f>G14*0.95</f>
        <v>24.7</v>
      </c>
      <c r="I14" s="363">
        <v>35</v>
      </c>
      <c r="J14" s="364">
        <f>I14*0.9</f>
        <v>31.5</v>
      </c>
      <c r="K14" s="266">
        <v>32</v>
      </c>
      <c r="L14" s="266"/>
      <c r="M14" s="235" t="s">
        <v>304</v>
      </c>
      <c r="N14" s="235" t="s">
        <v>136</v>
      </c>
    </row>
    <row r="15" spans="1:15" ht="25.5">
      <c r="A15" s="266">
        <v>13</v>
      </c>
      <c r="B15" s="235" t="s">
        <v>305</v>
      </c>
      <c r="C15" s="360">
        <v>75</v>
      </c>
      <c r="D15" s="361" t="s">
        <v>303</v>
      </c>
      <c r="E15" s="235" t="s">
        <v>192</v>
      </c>
      <c r="F15" s="342">
        <v>20</v>
      </c>
      <c r="G15" s="266">
        <v>36</v>
      </c>
      <c r="H15" s="362">
        <f t="shared" ref="H15:H32" si="0">G15*0.95</f>
        <v>34.199999999999996</v>
      </c>
      <c r="I15" s="363">
        <v>50</v>
      </c>
      <c r="J15" s="364">
        <f t="shared" ref="J15:J32" si="1">I15*0.9</f>
        <v>45</v>
      </c>
      <c r="K15" s="266">
        <v>47</v>
      </c>
      <c r="L15" s="266"/>
      <c r="M15" s="235" t="s">
        <v>304</v>
      </c>
      <c r="N15" s="235" t="s">
        <v>152</v>
      </c>
    </row>
    <row r="16" spans="1:15" ht="25.5">
      <c r="A16" s="266">
        <v>15</v>
      </c>
      <c r="B16" s="235" t="s">
        <v>306</v>
      </c>
      <c r="C16" s="360">
        <v>80</v>
      </c>
      <c r="D16" s="361" t="s">
        <v>303</v>
      </c>
      <c r="E16" s="235" t="s">
        <v>192</v>
      </c>
      <c r="F16" s="342">
        <v>125</v>
      </c>
      <c r="G16" s="266">
        <v>48</v>
      </c>
      <c r="H16" s="362">
        <f t="shared" si="0"/>
        <v>45.599999999999994</v>
      </c>
      <c r="I16" s="266">
        <v>62</v>
      </c>
      <c r="J16" s="364">
        <f t="shared" si="1"/>
        <v>55.800000000000004</v>
      </c>
      <c r="K16" s="266">
        <v>55</v>
      </c>
      <c r="L16" s="266"/>
      <c r="M16" s="235" t="s">
        <v>304</v>
      </c>
      <c r="N16" s="235" t="s">
        <v>202</v>
      </c>
    </row>
    <row r="17" spans="1:14" ht="25.5">
      <c r="A17" s="266">
        <v>17</v>
      </c>
      <c r="B17" s="235" t="s">
        <v>307</v>
      </c>
      <c r="C17" s="360">
        <v>145</v>
      </c>
      <c r="D17" s="361" t="s">
        <v>303</v>
      </c>
      <c r="E17" s="235" t="s">
        <v>192</v>
      </c>
      <c r="F17" s="342">
        <v>40</v>
      </c>
      <c r="G17" s="266">
        <v>95</v>
      </c>
      <c r="H17" s="362">
        <f t="shared" si="0"/>
        <v>90.25</v>
      </c>
      <c r="I17" s="266">
        <v>101</v>
      </c>
      <c r="J17" s="364">
        <f t="shared" si="1"/>
        <v>90.9</v>
      </c>
      <c r="K17" s="266">
        <v>87</v>
      </c>
      <c r="L17" s="266"/>
      <c r="M17" s="235" t="s">
        <v>304</v>
      </c>
      <c r="N17" s="235" t="s">
        <v>206</v>
      </c>
    </row>
    <row r="18" spans="1:14" ht="15.75">
      <c r="A18" s="266">
        <v>1</v>
      </c>
      <c r="B18" s="235" t="s">
        <v>308</v>
      </c>
      <c r="C18" s="235"/>
      <c r="D18" s="365"/>
      <c r="E18" s="235" t="s">
        <v>192</v>
      </c>
      <c r="F18" s="342">
        <v>50</v>
      </c>
      <c r="G18" s="266">
        <v>136</v>
      </c>
      <c r="H18" s="362">
        <f t="shared" si="0"/>
        <v>129.19999999999999</v>
      </c>
      <c r="I18" s="363">
        <v>136</v>
      </c>
      <c r="J18" s="364">
        <f t="shared" si="1"/>
        <v>122.4</v>
      </c>
      <c r="K18" s="266">
        <v>118</v>
      </c>
      <c r="L18" s="266"/>
      <c r="M18" s="235" t="s">
        <v>304</v>
      </c>
      <c r="N18" s="235" t="s">
        <v>216</v>
      </c>
    </row>
    <row r="19" spans="1:14" ht="15.75">
      <c r="A19" s="266">
        <v>2</v>
      </c>
      <c r="B19" s="235" t="s">
        <v>309</v>
      </c>
      <c r="C19" s="235"/>
      <c r="D19" s="365"/>
      <c r="E19" s="235" t="s">
        <v>192</v>
      </c>
      <c r="F19" s="342">
        <v>25</v>
      </c>
      <c r="G19" s="266">
        <v>192</v>
      </c>
      <c r="H19" s="362">
        <f t="shared" si="0"/>
        <v>182.39999999999998</v>
      </c>
      <c r="I19" s="363">
        <v>222.5</v>
      </c>
      <c r="J19" s="364">
        <f t="shared" si="1"/>
        <v>200.25</v>
      </c>
      <c r="K19" s="266">
        <v>181</v>
      </c>
      <c r="L19" s="266"/>
      <c r="M19" s="235" t="s">
        <v>304</v>
      </c>
      <c r="N19" s="235" t="s">
        <v>218</v>
      </c>
    </row>
    <row r="20" spans="1:14" ht="15.75">
      <c r="A20" s="266">
        <v>3</v>
      </c>
      <c r="B20" s="235" t="s">
        <v>310</v>
      </c>
      <c r="C20" s="235"/>
      <c r="D20" s="365"/>
      <c r="E20" s="235" t="s">
        <v>192</v>
      </c>
      <c r="F20" s="342">
        <v>32</v>
      </c>
      <c r="G20" s="266">
        <v>244</v>
      </c>
      <c r="H20" s="362">
        <f t="shared" si="0"/>
        <v>231.79999999999998</v>
      </c>
      <c r="I20" s="363">
        <v>329.5</v>
      </c>
      <c r="J20" s="364">
        <f t="shared" si="1"/>
        <v>296.55</v>
      </c>
      <c r="K20" s="266">
        <v>236</v>
      </c>
      <c r="L20" s="266"/>
      <c r="M20" s="235" t="s">
        <v>304</v>
      </c>
      <c r="N20" s="235" t="s">
        <v>220</v>
      </c>
    </row>
    <row r="21" spans="1:14" ht="25.5">
      <c r="A21" s="266">
        <v>4</v>
      </c>
      <c r="B21" s="235" t="s">
        <v>311</v>
      </c>
      <c r="C21" s="360">
        <v>1249.5</v>
      </c>
      <c r="D21" s="361" t="s">
        <v>312</v>
      </c>
      <c r="E21" s="235" t="s">
        <v>192</v>
      </c>
      <c r="F21" s="342">
        <v>12</v>
      </c>
      <c r="G21" s="266">
        <v>280</v>
      </c>
      <c r="H21" s="362">
        <f t="shared" si="0"/>
        <v>266</v>
      </c>
      <c r="I21" s="363">
        <v>386</v>
      </c>
      <c r="J21" s="364">
        <f t="shared" si="1"/>
        <v>347.40000000000003</v>
      </c>
      <c r="K21" s="266">
        <v>288</v>
      </c>
      <c r="L21" s="266"/>
      <c r="M21" s="235" t="s">
        <v>304</v>
      </c>
      <c r="N21" s="235" t="s">
        <v>222</v>
      </c>
    </row>
    <row r="22" spans="1:14" ht="25.5">
      <c r="A22" s="266">
        <v>5</v>
      </c>
      <c r="B22" s="235" t="s">
        <v>313</v>
      </c>
      <c r="C22" s="360">
        <v>1687.25</v>
      </c>
      <c r="D22" s="361" t="s">
        <v>312</v>
      </c>
      <c r="E22" s="235" t="s">
        <v>192</v>
      </c>
      <c r="F22" s="342">
        <v>42</v>
      </c>
      <c r="G22" s="266">
        <v>365</v>
      </c>
      <c r="H22" s="362">
        <f t="shared" si="0"/>
        <v>346.75</v>
      </c>
      <c r="I22" s="363">
        <v>492</v>
      </c>
      <c r="J22" s="364">
        <f t="shared" si="1"/>
        <v>442.8</v>
      </c>
      <c r="K22" s="266">
        <v>367</v>
      </c>
      <c r="L22" s="266"/>
      <c r="M22" s="235" t="s">
        <v>304</v>
      </c>
      <c r="N22" s="235" t="s">
        <v>224</v>
      </c>
    </row>
    <row r="23" spans="1:14" ht="15.75">
      <c r="A23" s="266">
        <v>6</v>
      </c>
      <c r="B23" s="235" t="s">
        <v>314</v>
      </c>
      <c r="C23" s="235"/>
      <c r="D23" s="365"/>
      <c r="E23" s="235" t="s">
        <v>192</v>
      </c>
      <c r="F23" s="342">
        <v>35</v>
      </c>
      <c r="G23" s="266">
        <v>505</v>
      </c>
      <c r="H23" s="362">
        <f t="shared" si="0"/>
        <v>479.75</v>
      </c>
      <c r="I23" s="363">
        <v>757</v>
      </c>
      <c r="J23" s="364">
        <f t="shared" si="1"/>
        <v>681.30000000000007</v>
      </c>
      <c r="K23" s="266">
        <v>402</v>
      </c>
      <c r="L23" s="266"/>
      <c r="M23" s="235" t="s">
        <v>304</v>
      </c>
      <c r="N23" s="235" t="s">
        <v>315</v>
      </c>
    </row>
    <row r="24" spans="1:14" ht="25.5">
      <c r="A24" s="266">
        <v>7</v>
      </c>
      <c r="B24" s="235" t="s">
        <v>316</v>
      </c>
      <c r="C24" s="360">
        <v>3500</v>
      </c>
      <c r="D24" s="361" t="s">
        <v>317</v>
      </c>
      <c r="E24" s="235" t="s">
        <v>192</v>
      </c>
      <c r="F24" s="342">
        <v>40</v>
      </c>
      <c r="G24" s="266">
        <v>527</v>
      </c>
      <c r="H24" s="362">
        <f t="shared" si="0"/>
        <v>500.65</v>
      </c>
      <c r="I24" s="363">
        <v>919.5</v>
      </c>
      <c r="J24" s="364">
        <f t="shared" si="1"/>
        <v>827.55000000000007</v>
      </c>
      <c r="K24" s="266">
        <v>509</v>
      </c>
      <c r="L24" s="266"/>
      <c r="M24" s="235" t="s">
        <v>304</v>
      </c>
      <c r="N24" s="235" t="s">
        <v>318</v>
      </c>
    </row>
    <row r="25" spans="1:14" ht="15.75">
      <c r="A25" s="266">
        <v>8</v>
      </c>
      <c r="B25" s="235" t="s">
        <v>319</v>
      </c>
      <c r="C25" s="235"/>
      <c r="D25" s="366"/>
      <c r="E25" s="235" t="s">
        <v>192</v>
      </c>
      <c r="F25" s="342">
        <v>8</v>
      </c>
      <c r="G25" s="266">
        <v>1450</v>
      </c>
      <c r="H25" s="362">
        <f t="shared" si="0"/>
        <v>1377.5</v>
      </c>
      <c r="I25" s="367">
        <v>0</v>
      </c>
      <c r="J25" s="364">
        <f t="shared" si="1"/>
        <v>0</v>
      </c>
      <c r="K25" s="266">
        <v>1377</v>
      </c>
      <c r="L25" s="266"/>
      <c r="M25" s="235" t="s">
        <v>320</v>
      </c>
      <c r="N25" s="235" t="s">
        <v>147</v>
      </c>
    </row>
    <row r="26" spans="1:14" ht="15.75">
      <c r="A26" s="266">
        <v>9</v>
      </c>
      <c r="B26" s="235" t="s">
        <v>321</v>
      </c>
      <c r="C26" s="235"/>
      <c r="D26" s="366"/>
      <c r="E26" s="235" t="s">
        <v>192</v>
      </c>
      <c r="F26" s="342">
        <v>2</v>
      </c>
      <c r="G26" s="266">
        <v>1160</v>
      </c>
      <c r="H26" s="362">
        <f t="shared" si="0"/>
        <v>1102</v>
      </c>
      <c r="I26" s="367">
        <v>0</v>
      </c>
      <c r="J26" s="364">
        <f t="shared" si="1"/>
        <v>0</v>
      </c>
      <c r="K26" s="266">
        <v>1102</v>
      </c>
      <c r="L26" s="266"/>
      <c r="M26" s="235" t="s">
        <v>320</v>
      </c>
      <c r="N26" s="235" t="s">
        <v>150</v>
      </c>
    </row>
    <row r="27" spans="1:14" ht="15.75">
      <c r="A27" s="266">
        <v>11</v>
      </c>
      <c r="B27" s="235" t="s">
        <v>322</v>
      </c>
      <c r="C27" s="235"/>
      <c r="D27" s="366"/>
      <c r="E27" s="235" t="s">
        <v>192</v>
      </c>
      <c r="F27" s="342">
        <v>50</v>
      </c>
      <c r="G27" s="266">
        <v>5</v>
      </c>
      <c r="H27" s="362">
        <f t="shared" si="0"/>
        <v>4.75</v>
      </c>
      <c r="I27" s="363">
        <v>11.96</v>
      </c>
      <c r="J27" s="364">
        <f t="shared" si="1"/>
        <v>10.764000000000001</v>
      </c>
      <c r="K27" s="266">
        <v>20</v>
      </c>
      <c r="L27" s="266"/>
      <c r="M27" s="235" t="s">
        <v>304</v>
      </c>
      <c r="N27" s="235" t="s">
        <v>147</v>
      </c>
    </row>
    <row r="28" spans="1:14" ht="15.75">
      <c r="A28" s="266">
        <v>12</v>
      </c>
      <c r="B28" s="235" t="s">
        <v>323</v>
      </c>
      <c r="C28" s="235"/>
      <c r="D28" s="366"/>
      <c r="E28" s="235" t="s">
        <v>192</v>
      </c>
      <c r="F28" s="342">
        <v>50</v>
      </c>
      <c r="G28" s="266">
        <v>1</v>
      </c>
      <c r="H28" s="362">
        <f t="shared" si="0"/>
        <v>0.95</v>
      </c>
      <c r="I28" s="363">
        <v>4.08</v>
      </c>
      <c r="J28" s="364">
        <f t="shared" si="1"/>
        <v>3.6720000000000002</v>
      </c>
      <c r="K28" s="266">
        <v>22</v>
      </c>
      <c r="L28" s="266"/>
      <c r="M28" s="235" t="s">
        <v>304</v>
      </c>
      <c r="N28" s="235" t="s">
        <v>150</v>
      </c>
    </row>
    <row r="29" spans="1:14" ht="15">
      <c r="A29" s="266">
        <v>14</v>
      </c>
      <c r="B29" s="235" t="s">
        <v>324</v>
      </c>
      <c r="C29" s="235"/>
      <c r="D29" s="366"/>
      <c r="E29" s="235" t="s">
        <v>192</v>
      </c>
      <c r="F29" s="342">
        <v>20</v>
      </c>
      <c r="G29" s="266">
        <v>9</v>
      </c>
      <c r="H29" s="362">
        <f t="shared" si="0"/>
        <v>8.5499999999999989</v>
      </c>
      <c r="I29" s="266">
        <v>19.16</v>
      </c>
      <c r="J29" s="364">
        <f t="shared" si="1"/>
        <v>17.244</v>
      </c>
      <c r="K29" s="266">
        <v>28</v>
      </c>
      <c r="L29" s="266"/>
      <c r="M29" s="235" t="s">
        <v>304</v>
      </c>
      <c r="N29" s="235" t="s">
        <v>140</v>
      </c>
    </row>
    <row r="30" spans="1:14" ht="15">
      <c r="A30" s="266">
        <v>16</v>
      </c>
      <c r="B30" s="235" t="s">
        <v>325</v>
      </c>
      <c r="C30" s="235"/>
      <c r="D30" s="366"/>
      <c r="E30" s="235" t="s">
        <v>192</v>
      </c>
      <c r="F30" s="342">
        <v>100</v>
      </c>
      <c r="G30" s="266">
        <v>14</v>
      </c>
      <c r="H30" s="362">
        <f t="shared" si="0"/>
        <v>13.299999999999999</v>
      </c>
      <c r="I30" s="266">
        <v>20.41</v>
      </c>
      <c r="J30" s="364">
        <f t="shared" si="1"/>
        <v>18.369</v>
      </c>
      <c r="K30" s="266">
        <v>44</v>
      </c>
      <c r="L30" s="266"/>
      <c r="M30" s="235" t="s">
        <v>304</v>
      </c>
      <c r="N30" s="235" t="s">
        <v>204</v>
      </c>
    </row>
    <row r="31" spans="1:14" ht="15.75">
      <c r="A31" s="266">
        <v>18</v>
      </c>
      <c r="B31" s="235" t="s">
        <v>326</v>
      </c>
      <c r="C31" s="235"/>
      <c r="D31" s="366"/>
      <c r="E31" s="235" t="s">
        <v>192</v>
      </c>
      <c r="F31" s="342">
        <v>25</v>
      </c>
      <c r="G31" s="266">
        <v>25</v>
      </c>
      <c r="H31" s="362">
        <f t="shared" si="0"/>
        <v>23.75</v>
      </c>
      <c r="I31" s="363">
        <v>30</v>
      </c>
      <c r="J31" s="364">
        <f t="shared" si="1"/>
        <v>27</v>
      </c>
      <c r="K31" s="266">
        <v>72</v>
      </c>
      <c r="L31" s="266"/>
      <c r="M31" s="235" t="s">
        <v>304</v>
      </c>
      <c r="N31" s="235" t="s">
        <v>209</v>
      </c>
    </row>
    <row r="32" spans="1:14" ht="15.75">
      <c r="A32" s="266">
        <v>19</v>
      </c>
      <c r="B32" s="235" t="s">
        <v>327</v>
      </c>
      <c r="C32" s="235"/>
      <c r="D32" s="366"/>
      <c r="E32" s="235" t="s">
        <v>192</v>
      </c>
      <c r="F32" s="342">
        <v>20</v>
      </c>
      <c r="G32" s="266">
        <v>30</v>
      </c>
      <c r="H32" s="362">
        <f t="shared" si="0"/>
        <v>28.5</v>
      </c>
      <c r="I32" s="363">
        <v>41.58</v>
      </c>
      <c r="J32" s="364">
        <f t="shared" si="1"/>
        <v>37.421999999999997</v>
      </c>
      <c r="K32" s="266">
        <v>120</v>
      </c>
      <c r="L32" s="266"/>
      <c r="M32" s="235" t="s">
        <v>304</v>
      </c>
      <c r="N32" s="235" t="s">
        <v>214</v>
      </c>
    </row>
    <row r="33" spans="1:15" ht="13.5" thickBot="1">
      <c r="A33" s="296"/>
      <c r="B33" s="358"/>
      <c r="C33" s="357"/>
      <c r="D33" s="357"/>
      <c r="E33" s="296"/>
      <c r="F33" s="296"/>
      <c r="G33" s="368"/>
      <c r="H33" s="369"/>
      <c r="I33" s="296"/>
      <c r="J33" s="369"/>
      <c r="K33" s="370"/>
      <c r="L33" s="370"/>
      <c r="M33" s="87"/>
      <c r="N33" s="89"/>
    </row>
    <row r="34" spans="1:15" s="7" customFormat="1" ht="13.5" thickBot="1">
      <c r="A34" s="90" t="s">
        <v>58</v>
      </c>
      <c r="B34" s="91"/>
      <c r="C34" s="92"/>
      <c r="D34" s="371"/>
      <c r="E34" s="93"/>
      <c r="F34" s="372">
        <f>SUM(F18:F32)</f>
        <v>511</v>
      </c>
      <c r="G34" s="373">
        <f t="shared" ref="G34:L34" si="2">SUMPRODUCT(G13:G33, $F$13:$F$33)</f>
        <v>105048</v>
      </c>
      <c r="H34" s="373">
        <f t="shared" si="2"/>
        <v>99795.6</v>
      </c>
      <c r="I34" s="373">
        <f t="shared" si="2"/>
        <v>129950.3</v>
      </c>
      <c r="J34" s="373">
        <f t="shared" si="2"/>
        <v>116955.27</v>
      </c>
      <c r="K34" s="373">
        <f t="shared" si="2"/>
        <v>107852</v>
      </c>
      <c r="L34" s="373">
        <f t="shared" si="2"/>
        <v>0</v>
      </c>
      <c r="M34" s="373"/>
      <c r="N34" s="374"/>
      <c r="O34" s="373"/>
    </row>
    <row r="35" spans="1:15">
      <c r="A35" s="1860" t="s">
        <v>59</v>
      </c>
      <c r="B35" s="1861"/>
      <c r="C35" s="97"/>
      <c r="D35" s="375"/>
      <c r="E35" s="97"/>
      <c r="F35" s="376"/>
      <c r="G35" s="377"/>
      <c r="H35" s="378"/>
      <c r="I35" s="379"/>
      <c r="J35" s="377"/>
      <c r="K35" s="379"/>
      <c r="L35" s="377"/>
    </row>
    <row r="36" spans="1:15">
      <c r="A36" s="102" t="s">
        <v>60</v>
      </c>
      <c r="B36" s="103"/>
      <c r="C36" s="97"/>
      <c r="D36" s="375"/>
      <c r="E36" s="97"/>
      <c r="F36" s="376"/>
      <c r="G36" s="380"/>
      <c r="H36" s="381" t="s">
        <v>61</v>
      </c>
      <c r="I36" s="382"/>
      <c r="J36" s="380" t="s">
        <v>61</v>
      </c>
      <c r="K36" s="382"/>
      <c r="L36" s="380" t="s">
        <v>61</v>
      </c>
    </row>
    <row r="37" spans="1:15">
      <c r="A37" s="1862" t="s">
        <v>62</v>
      </c>
      <c r="B37" s="1863"/>
      <c r="C37" s="97"/>
      <c r="D37" s="375"/>
      <c r="E37" s="97"/>
      <c r="F37" s="376"/>
      <c r="G37" s="380"/>
      <c r="H37" s="381"/>
      <c r="I37" s="382"/>
      <c r="J37" s="380"/>
      <c r="K37" s="382"/>
      <c r="L37" s="380"/>
    </row>
    <row r="38" spans="1:15" ht="12.95" customHeight="1">
      <c r="A38" s="107" t="s">
        <v>63</v>
      </c>
      <c r="B38" s="108"/>
      <c r="C38" s="108"/>
      <c r="D38" s="383"/>
      <c r="E38" s="108"/>
      <c r="F38" s="109"/>
      <c r="G38" s="110">
        <v>0</v>
      </c>
      <c r="H38" s="110">
        <v>0</v>
      </c>
      <c r="I38" s="110">
        <v>0.125</v>
      </c>
      <c r="J38" s="110">
        <v>0.125</v>
      </c>
      <c r="K38" s="110">
        <v>0.125</v>
      </c>
      <c r="L38" s="110">
        <v>0.125</v>
      </c>
    </row>
    <row r="39" spans="1:15" ht="12.95" customHeight="1">
      <c r="A39" s="107"/>
      <c r="B39" s="108" t="s">
        <v>64</v>
      </c>
      <c r="C39" s="111"/>
      <c r="D39" s="383"/>
      <c r="E39" s="111"/>
      <c r="F39" s="112"/>
      <c r="G39" s="384">
        <f>(G34+G35+G36+G37)*G38</f>
        <v>0</v>
      </c>
      <c r="H39" s="385">
        <f>(H34+H35+H37)*H38</f>
        <v>0</v>
      </c>
      <c r="I39" s="386">
        <f>(I34+I35+I36+I37)*I38</f>
        <v>16243.7875</v>
      </c>
      <c r="J39" s="384">
        <f>(J34+J35+J37)*J38</f>
        <v>14619.408750000001</v>
      </c>
      <c r="K39" s="386">
        <f>(K34+K35+K36+K37)*K38</f>
        <v>13481.5</v>
      </c>
      <c r="L39" s="384">
        <f>(L34+L35+L37)*L38</f>
        <v>0</v>
      </c>
    </row>
    <row r="40" spans="1:15">
      <c r="A40" s="1862" t="s">
        <v>65</v>
      </c>
      <c r="B40" s="1863"/>
      <c r="C40" s="111"/>
      <c r="D40" s="383"/>
      <c r="E40" s="116"/>
      <c r="F40" s="117"/>
      <c r="G40" s="387">
        <v>0.125</v>
      </c>
      <c r="H40" s="387">
        <v>0.125</v>
      </c>
      <c r="I40" s="387">
        <v>0.125</v>
      </c>
      <c r="J40" s="387">
        <v>0.125</v>
      </c>
      <c r="K40" s="387">
        <v>0.125</v>
      </c>
      <c r="L40" s="387">
        <v>0.125</v>
      </c>
    </row>
    <row r="41" spans="1:15" ht="12.95" customHeight="1">
      <c r="A41" s="102"/>
      <c r="B41" s="103" t="s">
        <v>66</v>
      </c>
      <c r="C41" s="111"/>
      <c r="D41" s="383"/>
      <c r="E41" s="116"/>
      <c r="F41" s="117"/>
      <c r="G41" s="384">
        <f>(G39+G35+G36+G37+G34)*G40</f>
        <v>13131</v>
      </c>
      <c r="H41" s="385">
        <f>(H39+H35+H37+H34)*H40</f>
        <v>12474.45</v>
      </c>
      <c r="I41" s="386">
        <f>(I39+I35+I36+I37+I34)*I40</f>
        <v>18274.260937499999</v>
      </c>
      <c r="J41" s="384">
        <f>(J39+J35+J37+J34)*J40</f>
        <v>16446.834843749999</v>
      </c>
      <c r="K41" s="386">
        <f>(K39+K35+K36+K37+K34)*K40</f>
        <v>15166.6875</v>
      </c>
      <c r="L41" s="384">
        <f>(L39+L35+L37+L34)*L40</f>
        <v>0</v>
      </c>
    </row>
    <row r="42" spans="1:15" ht="12.95" customHeight="1">
      <c r="A42" s="102" t="s">
        <v>67</v>
      </c>
      <c r="B42" s="103"/>
      <c r="C42" s="111"/>
      <c r="D42" s="383"/>
      <c r="E42" s="116"/>
      <c r="F42" s="117"/>
      <c r="G42" s="387"/>
      <c r="H42" s="387"/>
      <c r="I42" s="387"/>
      <c r="J42" s="387"/>
      <c r="K42" s="387"/>
      <c r="L42" s="387"/>
    </row>
    <row r="43" spans="1:15" ht="12.95" customHeight="1">
      <c r="A43" s="102"/>
      <c r="B43" s="103" t="s">
        <v>68</v>
      </c>
      <c r="C43" s="111"/>
      <c r="D43" s="383"/>
      <c r="E43" s="116"/>
      <c r="F43" s="117"/>
      <c r="G43" s="384">
        <f>(G39+G35+G36+G37+G34)*G42</f>
        <v>0</v>
      </c>
      <c r="H43" s="385">
        <f>(H39+H35+H37+H34)*H42</f>
        <v>0</v>
      </c>
      <c r="I43" s="386">
        <f>(I39+I35+I36+I37+I34)*I42</f>
        <v>0</v>
      </c>
      <c r="J43" s="384">
        <f>(J39+J35+J37+J34)*J42</f>
        <v>0</v>
      </c>
      <c r="K43" s="386">
        <f>(K39+K35+K36+K37+K34)*K42</f>
        <v>0</v>
      </c>
      <c r="L43" s="384">
        <f>(L39+L35+L37+L34)*L42</f>
        <v>0</v>
      </c>
    </row>
    <row r="44" spans="1:15" ht="12.95" customHeight="1">
      <c r="A44" s="1862" t="s">
        <v>69</v>
      </c>
      <c r="B44" s="1863"/>
      <c r="C44" s="111"/>
      <c r="D44" s="383"/>
      <c r="E44" s="120"/>
      <c r="F44" s="117"/>
      <c r="G44" s="387"/>
      <c r="H44" s="388"/>
      <c r="I44" s="389"/>
      <c r="J44" s="387"/>
      <c r="K44" s="389"/>
      <c r="L44" s="387"/>
    </row>
    <row r="45" spans="1:15" ht="12.95" customHeight="1">
      <c r="A45" s="122"/>
      <c r="B45" s="123" t="s">
        <v>70</v>
      </c>
      <c r="C45" s="124"/>
      <c r="D45" s="390"/>
      <c r="E45" s="125"/>
      <c r="F45" s="126"/>
      <c r="G45" s="384">
        <f t="shared" ref="G45:L45" si="3">G34*G44</f>
        <v>0</v>
      </c>
      <c r="H45" s="385">
        <f t="shared" si="3"/>
        <v>0</v>
      </c>
      <c r="I45" s="386">
        <f t="shared" si="3"/>
        <v>0</v>
      </c>
      <c r="J45" s="384">
        <f t="shared" si="3"/>
        <v>0</v>
      </c>
      <c r="K45" s="386">
        <f t="shared" si="3"/>
        <v>0</v>
      </c>
      <c r="L45" s="384">
        <f t="shared" si="3"/>
        <v>0</v>
      </c>
    </row>
    <row r="46" spans="1:15" ht="13.5" thickBot="1">
      <c r="A46" s="1864"/>
      <c r="B46" s="1865"/>
      <c r="C46" s="124"/>
      <c r="D46" s="390"/>
      <c r="E46" s="124"/>
      <c r="F46" s="391"/>
      <c r="G46" s="392"/>
      <c r="H46" s="393"/>
      <c r="I46" s="394"/>
      <c r="J46" s="392"/>
      <c r="K46" s="394"/>
      <c r="L46" s="392"/>
    </row>
    <row r="47" spans="1:15" ht="13.5" thickBot="1">
      <c r="A47" s="131" t="s">
        <v>71</v>
      </c>
      <c r="B47" s="132"/>
      <c r="C47" s="132"/>
      <c r="D47" s="395"/>
      <c r="E47" s="132"/>
      <c r="F47" s="133"/>
      <c r="G47" s="134">
        <f>SUM(G34:G46)</f>
        <v>118179.125</v>
      </c>
      <c r="H47" s="135">
        <f>SUM(H34:H46)</f>
        <v>112270.175</v>
      </c>
      <c r="I47" s="134">
        <f>SUM(I34,I35,I37,I39,I41)</f>
        <v>164468.34843749998</v>
      </c>
      <c r="J47" s="135">
        <f>SUM(J34:J46)</f>
        <v>148021.76359374999</v>
      </c>
      <c r="K47" s="134">
        <f>SUM(K34,K35,K37,K39,K41)</f>
        <v>136500.1875</v>
      </c>
      <c r="L47" s="135">
        <f>SUM(L34:L46)</f>
        <v>0.25</v>
      </c>
    </row>
    <row r="48" spans="1:15" s="142" customFormat="1" ht="13.5" thickBot="1">
      <c r="A48" s="137"/>
      <c r="B48" s="138"/>
      <c r="C48" s="138"/>
      <c r="D48" s="396"/>
      <c r="E48" s="138"/>
      <c r="F48" s="138"/>
      <c r="G48" s="139"/>
      <c r="H48" s="140"/>
      <c r="I48" s="139"/>
      <c r="J48" s="140"/>
      <c r="K48" s="139"/>
      <c r="L48" s="140"/>
    </row>
    <row r="49" spans="1:12" s="7" customFormat="1" ht="13.5" thickBot="1">
      <c r="A49" s="131" t="s">
        <v>72</v>
      </c>
      <c r="B49" s="132"/>
      <c r="C49" s="132"/>
      <c r="D49" s="395"/>
      <c r="E49" s="132"/>
      <c r="F49" s="133"/>
      <c r="G49" s="135">
        <f>G34+G43+G35+G37+G36</f>
        <v>105048</v>
      </c>
      <c r="H49" s="143">
        <f>H34+H43</f>
        <v>99795.6</v>
      </c>
      <c r="I49" s="135">
        <f>I34+I43+I35</f>
        <v>129950.3</v>
      </c>
      <c r="J49" s="135">
        <f>J34+J43+J35</f>
        <v>116955.27</v>
      </c>
      <c r="K49" s="135">
        <f>K34+K43+K35</f>
        <v>107852</v>
      </c>
      <c r="L49" s="135">
        <f>L34+L43+L35</f>
        <v>0</v>
      </c>
    </row>
    <row r="50" spans="1:12" ht="13.5" thickBot="1">
      <c r="A50" s="145"/>
      <c r="B50" s="146"/>
      <c r="C50" s="147"/>
      <c r="D50" s="146"/>
      <c r="E50" s="147"/>
      <c r="F50" s="397"/>
      <c r="G50" s="149"/>
      <c r="H50" s="150"/>
      <c r="I50" s="149"/>
      <c r="J50" s="151"/>
      <c r="K50" s="149"/>
      <c r="L50" s="151"/>
    </row>
    <row r="51" spans="1:12">
      <c r="A51" s="155" t="s">
        <v>73</v>
      </c>
      <c r="B51" s="156" t="s">
        <v>74</v>
      </c>
      <c r="C51" s="157"/>
      <c r="D51" s="398"/>
      <c r="E51" s="157"/>
      <c r="F51" s="399"/>
      <c r="G51" s="159" t="s">
        <v>328</v>
      </c>
      <c r="H51" s="159" t="s">
        <v>328</v>
      </c>
      <c r="I51" s="159" t="s">
        <v>328</v>
      </c>
      <c r="J51" s="159" t="s">
        <v>328</v>
      </c>
      <c r="K51" s="159" t="s">
        <v>328</v>
      </c>
      <c r="L51" s="159" t="s">
        <v>328</v>
      </c>
    </row>
    <row r="52" spans="1:12" ht="13.5" thickBot="1">
      <c r="A52" s="164" t="s">
        <v>79</v>
      </c>
      <c r="B52" s="165" t="s">
        <v>80</v>
      </c>
      <c r="C52" s="166"/>
      <c r="D52" s="400"/>
      <c r="E52" s="166"/>
      <c r="F52" s="401"/>
      <c r="G52" s="159" t="s">
        <v>165</v>
      </c>
      <c r="H52" s="168" t="s">
        <v>82</v>
      </c>
      <c r="I52" s="169" t="s">
        <v>329</v>
      </c>
      <c r="J52" s="170" t="s">
        <v>82</v>
      </c>
      <c r="K52" s="169" t="s">
        <v>329</v>
      </c>
      <c r="L52" s="170" t="s">
        <v>82</v>
      </c>
    </row>
    <row r="53" spans="1:12" ht="63.75">
      <c r="A53" s="173" t="s">
        <v>85</v>
      </c>
      <c r="B53" s="174" t="s">
        <v>86</v>
      </c>
      <c r="C53" s="175"/>
      <c r="D53" s="174"/>
      <c r="E53" s="175"/>
      <c r="F53" s="402"/>
      <c r="G53" s="177" t="s">
        <v>167</v>
      </c>
      <c r="H53" s="177" t="s">
        <v>168</v>
      </c>
      <c r="I53" s="179" t="s">
        <v>330</v>
      </c>
      <c r="J53" s="179" t="s">
        <v>330</v>
      </c>
      <c r="K53" s="179" t="s">
        <v>330</v>
      </c>
      <c r="L53" s="179" t="s">
        <v>330</v>
      </c>
    </row>
    <row r="54" spans="1:12">
      <c r="A54" s="181" t="s">
        <v>90</v>
      </c>
      <c r="B54" s="175" t="s">
        <v>91</v>
      </c>
      <c r="C54" s="175"/>
      <c r="D54" s="174"/>
      <c r="E54" s="175"/>
      <c r="F54" s="402"/>
      <c r="G54" s="177" t="s">
        <v>92</v>
      </c>
      <c r="H54" s="182" t="s">
        <v>331</v>
      </c>
      <c r="I54" s="182" t="s">
        <v>331</v>
      </c>
      <c r="J54" s="182" t="s">
        <v>331</v>
      </c>
      <c r="K54" s="182" t="s">
        <v>331</v>
      </c>
      <c r="L54" s="182" t="s">
        <v>331</v>
      </c>
    </row>
    <row r="55" spans="1:12" ht="39.950000000000003" customHeight="1">
      <c r="A55" s="181" t="s">
        <v>93</v>
      </c>
      <c r="B55" s="174" t="s">
        <v>94</v>
      </c>
      <c r="C55" s="175"/>
      <c r="D55" s="174"/>
      <c r="E55" s="175"/>
      <c r="F55" s="402"/>
      <c r="G55" s="184"/>
      <c r="H55" s="185"/>
      <c r="I55" s="184" t="s">
        <v>332</v>
      </c>
      <c r="J55" s="186" t="s">
        <v>332</v>
      </c>
      <c r="K55" s="184" t="s">
        <v>332</v>
      </c>
      <c r="L55" s="186" t="s">
        <v>332</v>
      </c>
    </row>
    <row r="56" spans="1:12" ht="89.25">
      <c r="A56" s="181" t="s">
        <v>95</v>
      </c>
      <c r="B56" s="174" t="s">
        <v>96</v>
      </c>
      <c r="C56" s="175"/>
      <c r="D56" s="174"/>
      <c r="E56" s="175"/>
      <c r="F56" s="402"/>
      <c r="G56" s="177" t="s">
        <v>97</v>
      </c>
      <c r="H56" s="177" t="s">
        <v>97</v>
      </c>
      <c r="I56" s="177" t="s">
        <v>97</v>
      </c>
      <c r="J56" s="179" t="s">
        <v>98</v>
      </c>
      <c r="K56" s="177" t="s">
        <v>97</v>
      </c>
      <c r="L56" s="179" t="s">
        <v>98</v>
      </c>
    </row>
    <row r="57" spans="1:12" ht="51.75" thickBot="1">
      <c r="A57" s="189" t="s">
        <v>99</v>
      </c>
      <c r="B57" s="190" t="s">
        <v>100</v>
      </c>
      <c r="C57" s="191"/>
      <c r="D57" s="190"/>
      <c r="E57" s="191"/>
      <c r="F57" s="403"/>
      <c r="G57" s="193" t="s">
        <v>101</v>
      </c>
      <c r="H57" s="193" t="s">
        <v>101</v>
      </c>
      <c r="I57" s="193" t="s">
        <v>101</v>
      </c>
      <c r="J57" s="404" t="s">
        <v>101</v>
      </c>
      <c r="K57" s="193" t="s">
        <v>101</v>
      </c>
      <c r="L57" s="404" t="s">
        <v>101</v>
      </c>
    </row>
    <row r="58" spans="1:12" ht="30" customHeight="1">
      <c r="A58" s="1866" t="s">
        <v>102</v>
      </c>
      <c r="B58" s="1867"/>
      <c r="C58" s="1971"/>
      <c r="D58" s="405"/>
      <c r="E58" s="1858" t="s">
        <v>103</v>
      </c>
      <c r="F58" s="1859"/>
      <c r="G58" s="1859"/>
      <c r="H58" s="1859"/>
      <c r="I58" s="1966"/>
      <c r="J58" s="1856" t="s">
        <v>104</v>
      </c>
      <c r="K58" s="1857"/>
      <c r="L58" s="1967"/>
    </row>
    <row r="59" spans="1:12" ht="13.5" thickBot="1">
      <c r="A59" s="1866"/>
      <c r="B59" s="1867"/>
      <c r="C59" s="1971"/>
      <c r="D59" s="405"/>
      <c r="E59" s="1858"/>
      <c r="F59" s="1859"/>
      <c r="G59" s="1859"/>
      <c r="H59" s="1859"/>
      <c r="I59" s="1966"/>
      <c r="J59" s="1968"/>
      <c r="K59" s="1969"/>
      <c r="L59" s="1970"/>
    </row>
    <row r="60" spans="1:12">
      <c r="A60" s="149"/>
      <c r="B60" s="197"/>
      <c r="C60" s="152"/>
      <c r="D60" s="197"/>
      <c r="E60" s="152"/>
      <c r="F60" s="406"/>
      <c r="G60" s="152"/>
      <c r="H60" s="152"/>
      <c r="I60" s="152"/>
      <c r="J60" s="152"/>
      <c r="K60" s="152"/>
      <c r="L60" s="152"/>
    </row>
    <row r="61" spans="1:12">
      <c r="A61" s="200"/>
      <c r="B61" s="201"/>
      <c r="C61" s="202"/>
      <c r="D61" s="201"/>
      <c r="E61" s="202"/>
      <c r="F61" s="407"/>
      <c r="G61" s="202"/>
      <c r="H61" s="202"/>
      <c r="I61" s="202"/>
      <c r="J61" s="202"/>
      <c r="K61" s="202"/>
      <c r="L61" s="202"/>
    </row>
    <row r="62" spans="1:12">
      <c r="A62" s="200"/>
      <c r="B62" s="27" t="s">
        <v>105</v>
      </c>
      <c r="C62" s="28"/>
      <c r="D62" s="27"/>
      <c r="E62" s="28"/>
      <c r="F62" s="28" t="s">
        <v>106</v>
      </c>
      <c r="G62" s="202"/>
      <c r="H62" s="28"/>
      <c r="I62" s="28"/>
      <c r="J62" s="28"/>
      <c r="K62" s="28" t="s">
        <v>107</v>
      </c>
      <c r="L62" s="202"/>
    </row>
    <row r="63" spans="1:12" ht="13.5" thickBot="1">
      <c r="A63" s="205"/>
      <c r="B63" s="206"/>
      <c r="C63" s="207"/>
      <c r="D63" s="206"/>
      <c r="E63" s="207"/>
      <c r="F63" s="207"/>
      <c r="G63" s="207"/>
      <c r="H63" s="207"/>
      <c r="I63" s="207"/>
      <c r="J63" s="207"/>
      <c r="K63" s="207"/>
      <c r="L63" s="207"/>
    </row>
  </sheetData>
  <mergeCells count="29">
    <mergeCell ref="A44:B44"/>
    <mergeCell ref="A46:B46"/>
    <mergeCell ref="A58:C59"/>
    <mergeCell ref="E58:I59"/>
    <mergeCell ref="J58:L59"/>
    <mergeCell ref="A40:B40"/>
    <mergeCell ref="I7:J7"/>
    <mergeCell ref="K7:L7"/>
    <mergeCell ref="G8:H9"/>
    <mergeCell ref="I8:J9"/>
    <mergeCell ref="K8:L9"/>
    <mergeCell ref="G10:H10"/>
    <mergeCell ref="I10:J10"/>
    <mergeCell ref="K10:L10"/>
    <mergeCell ref="G11:H11"/>
    <mergeCell ref="I11:J11"/>
    <mergeCell ref="K11:L11"/>
    <mergeCell ref="A35:B35"/>
    <mergeCell ref="A37:B37"/>
    <mergeCell ref="A2:L2"/>
    <mergeCell ref="A3:L3"/>
    <mergeCell ref="F4:F5"/>
    <mergeCell ref="G4:H5"/>
    <mergeCell ref="A7:A12"/>
    <mergeCell ref="B7:B12"/>
    <mergeCell ref="C7:C12"/>
    <mergeCell ref="E7:E12"/>
    <mergeCell ref="F7:F12"/>
    <mergeCell ref="G7:H7"/>
  </mergeCells>
  <pageMargins left="0.25" right="0.25" top="0.75" bottom="0.75" header="0.3" footer="0.3"/>
  <pageSetup scale="5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zoomScaleNormal="100" workbookViewId="0">
      <selection activeCell="G4" sqref="G4:H5"/>
    </sheetView>
  </sheetViews>
  <sheetFormatPr defaultRowHeight="12.75"/>
  <cols>
    <col min="1" max="1" width="6.140625" style="9" customWidth="1"/>
    <col min="2" max="2" width="52.7109375" style="209" customWidth="1"/>
    <col min="3" max="3" width="16" style="9" customWidth="1"/>
    <col min="4" max="4" width="16.5703125" style="209" customWidth="1"/>
    <col min="5" max="5" width="6.140625" style="9" customWidth="1"/>
    <col min="6" max="6" width="12.7109375" style="9" customWidth="1"/>
    <col min="7" max="7" width="21.85546875" style="9" customWidth="1"/>
    <col min="8" max="8" width="19.140625" style="9" customWidth="1"/>
    <col min="9" max="9" width="20.5703125" style="9" customWidth="1"/>
    <col min="10" max="10" width="18.85546875" style="9" customWidth="1"/>
    <col min="11" max="11" width="17.5703125" style="9" hidden="1" customWidth="1"/>
    <col min="12" max="12" width="18.42578125" style="9" hidden="1" customWidth="1"/>
    <col min="13" max="13" width="12.42578125" style="9" bestFit="1" customWidth="1"/>
    <col min="14" max="14" width="11.140625" style="9" bestFit="1" customWidth="1"/>
    <col min="15" max="252" width="9.140625" style="9"/>
    <col min="253" max="253" width="4" style="9" customWidth="1"/>
    <col min="254" max="254" width="30.7109375" style="9" customWidth="1"/>
    <col min="255" max="256" width="10" style="9" customWidth="1"/>
    <col min="257" max="257" width="9.85546875" style="9" customWidth="1"/>
    <col min="258" max="258" width="12.42578125" style="9" customWidth="1"/>
    <col min="259" max="264" width="12.7109375" style="9" customWidth="1"/>
    <col min="265" max="265" width="13" style="9" customWidth="1"/>
    <col min="266" max="267" width="12.7109375" style="9" customWidth="1"/>
    <col min="268" max="268" width="9.140625" style="9"/>
    <col min="269" max="269" width="11.140625" style="9" bestFit="1" customWidth="1"/>
    <col min="270" max="508" width="9.140625" style="9"/>
    <col min="509" max="509" width="4" style="9" customWidth="1"/>
    <col min="510" max="510" width="30.7109375" style="9" customWidth="1"/>
    <col min="511" max="512" width="10" style="9" customWidth="1"/>
    <col min="513" max="513" width="9.85546875" style="9" customWidth="1"/>
    <col min="514" max="514" width="12.42578125" style="9" customWidth="1"/>
    <col min="515" max="520" width="12.7109375" style="9" customWidth="1"/>
    <col min="521" max="521" width="13" style="9" customWidth="1"/>
    <col min="522" max="523" width="12.7109375" style="9" customWidth="1"/>
    <col min="524" max="524" width="9.140625" style="9"/>
    <col min="525" max="525" width="11.140625" style="9" bestFit="1" customWidth="1"/>
    <col min="526" max="764" width="9.140625" style="9"/>
    <col min="765" max="765" width="4" style="9" customWidth="1"/>
    <col min="766" max="766" width="30.7109375" style="9" customWidth="1"/>
    <col min="767" max="768" width="10" style="9" customWidth="1"/>
    <col min="769" max="769" width="9.85546875" style="9" customWidth="1"/>
    <col min="770" max="770" width="12.42578125" style="9" customWidth="1"/>
    <col min="771" max="776" width="12.7109375" style="9" customWidth="1"/>
    <col min="777" max="777" width="13" style="9" customWidth="1"/>
    <col min="778" max="779" width="12.7109375" style="9" customWidth="1"/>
    <col min="780" max="780" width="9.140625" style="9"/>
    <col min="781" max="781" width="11.140625" style="9" bestFit="1" customWidth="1"/>
    <col min="782" max="1020" width="9.140625" style="9"/>
    <col min="1021" max="1021" width="4" style="9" customWidth="1"/>
    <col min="1022" max="1022" width="30.7109375" style="9" customWidth="1"/>
    <col min="1023" max="1024" width="10" style="9" customWidth="1"/>
    <col min="1025" max="1025" width="9.85546875" style="9" customWidth="1"/>
    <col min="1026" max="1026" width="12.42578125" style="9" customWidth="1"/>
    <col min="1027" max="1032" width="12.7109375" style="9" customWidth="1"/>
    <col min="1033" max="1033" width="13" style="9" customWidth="1"/>
    <col min="1034" max="1035" width="12.7109375" style="9" customWidth="1"/>
    <col min="1036" max="1036" width="9.140625" style="9"/>
    <col min="1037" max="1037" width="11.140625" style="9" bestFit="1" customWidth="1"/>
    <col min="1038" max="1276" width="9.140625" style="9"/>
    <col min="1277" max="1277" width="4" style="9" customWidth="1"/>
    <col min="1278" max="1278" width="30.7109375" style="9" customWidth="1"/>
    <col min="1279" max="1280" width="10" style="9" customWidth="1"/>
    <col min="1281" max="1281" width="9.85546875" style="9" customWidth="1"/>
    <col min="1282" max="1282" width="12.42578125" style="9" customWidth="1"/>
    <col min="1283" max="1288" width="12.7109375" style="9" customWidth="1"/>
    <col min="1289" max="1289" width="13" style="9" customWidth="1"/>
    <col min="1290" max="1291" width="12.7109375" style="9" customWidth="1"/>
    <col min="1292" max="1292" width="9.140625" style="9"/>
    <col min="1293" max="1293" width="11.140625" style="9" bestFit="1" customWidth="1"/>
    <col min="1294" max="1532" width="9.140625" style="9"/>
    <col min="1533" max="1533" width="4" style="9" customWidth="1"/>
    <col min="1534" max="1534" width="30.7109375" style="9" customWidth="1"/>
    <col min="1535" max="1536" width="10" style="9" customWidth="1"/>
    <col min="1537" max="1537" width="9.85546875" style="9" customWidth="1"/>
    <col min="1538" max="1538" width="12.42578125" style="9" customWidth="1"/>
    <col min="1539" max="1544" width="12.7109375" style="9" customWidth="1"/>
    <col min="1545" max="1545" width="13" style="9" customWidth="1"/>
    <col min="1546" max="1547" width="12.7109375" style="9" customWidth="1"/>
    <col min="1548" max="1548" width="9.140625" style="9"/>
    <col min="1549" max="1549" width="11.140625" style="9" bestFit="1" customWidth="1"/>
    <col min="1550" max="1788" width="9.140625" style="9"/>
    <col min="1789" max="1789" width="4" style="9" customWidth="1"/>
    <col min="1790" max="1790" width="30.7109375" style="9" customWidth="1"/>
    <col min="1791" max="1792" width="10" style="9" customWidth="1"/>
    <col min="1793" max="1793" width="9.85546875" style="9" customWidth="1"/>
    <col min="1794" max="1794" width="12.42578125" style="9" customWidth="1"/>
    <col min="1795" max="1800" width="12.7109375" style="9" customWidth="1"/>
    <col min="1801" max="1801" width="13" style="9" customWidth="1"/>
    <col min="1802" max="1803" width="12.7109375" style="9" customWidth="1"/>
    <col min="1804" max="1804" width="9.140625" style="9"/>
    <col min="1805" max="1805" width="11.140625" style="9" bestFit="1" customWidth="1"/>
    <col min="1806" max="2044" width="9.140625" style="9"/>
    <col min="2045" max="2045" width="4" style="9" customWidth="1"/>
    <col min="2046" max="2046" width="30.7109375" style="9" customWidth="1"/>
    <col min="2047" max="2048" width="10" style="9" customWidth="1"/>
    <col min="2049" max="2049" width="9.85546875" style="9" customWidth="1"/>
    <col min="2050" max="2050" width="12.42578125" style="9" customWidth="1"/>
    <col min="2051" max="2056" width="12.7109375" style="9" customWidth="1"/>
    <col min="2057" max="2057" width="13" style="9" customWidth="1"/>
    <col min="2058" max="2059" width="12.7109375" style="9" customWidth="1"/>
    <col min="2060" max="2060" width="9.140625" style="9"/>
    <col min="2061" max="2061" width="11.140625" style="9" bestFit="1" customWidth="1"/>
    <col min="2062" max="2300" width="9.140625" style="9"/>
    <col min="2301" max="2301" width="4" style="9" customWidth="1"/>
    <col min="2302" max="2302" width="30.7109375" style="9" customWidth="1"/>
    <col min="2303" max="2304" width="10" style="9" customWidth="1"/>
    <col min="2305" max="2305" width="9.85546875" style="9" customWidth="1"/>
    <col min="2306" max="2306" width="12.42578125" style="9" customWidth="1"/>
    <col min="2307" max="2312" width="12.7109375" style="9" customWidth="1"/>
    <col min="2313" max="2313" width="13" style="9" customWidth="1"/>
    <col min="2314" max="2315" width="12.7109375" style="9" customWidth="1"/>
    <col min="2316" max="2316" width="9.140625" style="9"/>
    <col min="2317" max="2317" width="11.140625" style="9" bestFit="1" customWidth="1"/>
    <col min="2318" max="2556" width="9.140625" style="9"/>
    <col min="2557" max="2557" width="4" style="9" customWidth="1"/>
    <col min="2558" max="2558" width="30.7109375" style="9" customWidth="1"/>
    <col min="2559" max="2560" width="10" style="9" customWidth="1"/>
    <col min="2561" max="2561" width="9.85546875" style="9" customWidth="1"/>
    <col min="2562" max="2562" width="12.42578125" style="9" customWidth="1"/>
    <col min="2563" max="2568" width="12.7109375" style="9" customWidth="1"/>
    <col min="2569" max="2569" width="13" style="9" customWidth="1"/>
    <col min="2570" max="2571" width="12.7109375" style="9" customWidth="1"/>
    <col min="2572" max="2572" width="9.140625" style="9"/>
    <col min="2573" max="2573" width="11.140625" style="9" bestFit="1" customWidth="1"/>
    <col min="2574" max="2812" width="9.140625" style="9"/>
    <col min="2813" max="2813" width="4" style="9" customWidth="1"/>
    <col min="2814" max="2814" width="30.7109375" style="9" customWidth="1"/>
    <col min="2815" max="2816" width="10" style="9" customWidth="1"/>
    <col min="2817" max="2817" width="9.85546875" style="9" customWidth="1"/>
    <col min="2818" max="2818" width="12.42578125" style="9" customWidth="1"/>
    <col min="2819" max="2824" width="12.7109375" style="9" customWidth="1"/>
    <col min="2825" max="2825" width="13" style="9" customWidth="1"/>
    <col min="2826" max="2827" width="12.7109375" style="9" customWidth="1"/>
    <col min="2828" max="2828" width="9.140625" style="9"/>
    <col min="2829" max="2829" width="11.140625" style="9" bestFit="1" customWidth="1"/>
    <col min="2830" max="3068" width="9.140625" style="9"/>
    <col min="3069" max="3069" width="4" style="9" customWidth="1"/>
    <col min="3070" max="3070" width="30.7109375" style="9" customWidth="1"/>
    <col min="3071" max="3072" width="10" style="9" customWidth="1"/>
    <col min="3073" max="3073" width="9.85546875" style="9" customWidth="1"/>
    <col min="3074" max="3074" width="12.42578125" style="9" customWidth="1"/>
    <col min="3075" max="3080" width="12.7109375" style="9" customWidth="1"/>
    <col min="3081" max="3081" width="13" style="9" customWidth="1"/>
    <col min="3082" max="3083" width="12.7109375" style="9" customWidth="1"/>
    <col min="3084" max="3084" width="9.140625" style="9"/>
    <col min="3085" max="3085" width="11.140625" style="9" bestFit="1" customWidth="1"/>
    <col min="3086" max="3324" width="9.140625" style="9"/>
    <col min="3325" max="3325" width="4" style="9" customWidth="1"/>
    <col min="3326" max="3326" width="30.7109375" style="9" customWidth="1"/>
    <col min="3327" max="3328" width="10" style="9" customWidth="1"/>
    <col min="3329" max="3329" width="9.85546875" style="9" customWidth="1"/>
    <col min="3330" max="3330" width="12.42578125" style="9" customWidth="1"/>
    <col min="3331" max="3336" width="12.7109375" style="9" customWidth="1"/>
    <col min="3337" max="3337" width="13" style="9" customWidth="1"/>
    <col min="3338" max="3339" width="12.7109375" style="9" customWidth="1"/>
    <col min="3340" max="3340" width="9.140625" style="9"/>
    <col min="3341" max="3341" width="11.140625" style="9" bestFit="1" customWidth="1"/>
    <col min="3342" max="3580" width="9.140625" style="9"/>
    <col min="3581" max="3581" width="4" style="9" customWidth="1"/>
    <col min="3582" max="3582" width="30.7109375" style="9" customWidth="1"/>
    <col min="3583" max="3584" width="10" style="9" customWidth="1"/>
    <col min="3585" max="3585" width="9.85546875" style="9" customWidth="1"/>
    <col min="3586" max="3586" width="12.42578125" style="9" customWidth="1"/>
    <col min="3587" max="3592" width="12.7109375" style="9" customWidth="1"/>
    <col min="3593" max="3593" width="13" style="9" customWidth="1"/>
    <col min="3594" max="3595" width="12.7109375" style="9" customWidth="1"/>
    <col min="3596" max="3596" width="9.140625" style="9"/>
    <col min="3597" max="3597" width="11.140625" style="9" bestFit="1" customWidth="1"/>
    <col min="3598" max="3836" width="9.140625" style="9"/>
    <col min="3837" max="3837" width="4" style="9" customWidth="1"/>
    <col min="3838" max="3838" width="30.7109375" style="9" customWidth="1"/>
    <col min="3839" max="3840" width="10" style="9" customWidth="1"/>
    <col min="3841" max="3841" width="9.85546875" style="9" customWidth="1"/>
    <col min="3842" max="3842" width="12.42578125" style="9" customWidth="1"/>
    <col min="3843" max="3848" width="12.7109375" style="9" customWidth="1"/>
    <col min="3849" max="3849" width="13" style="9" customWidth="1"/>
    <col min="3850" max="3851" width="12.7109375" style="9" customWidth="1"/>
    <col min="3852" max="3852" width="9.140625" style="9"/>
    <col min="3853" max="3853" width="11.140625" style="9" bestFit="1" customWidth="1"/>
    <col min="3854" max="4092" width="9.140625" style="9"/>
    <col min="4093" max="4093" width="4" style="9" customWidth="1"/>
    <col min="4094" max="4094" width="30.7109375" style="9" customWidth="1"/>
    <col min="4095" max="4096" width="10" style="9" customWidth="1"/>
    <col min="4097" max="4097" width="9.85546875" style="9" customWidth="1"/>
    <col min="4098" max="4098" width="12.42578125" style="9" customWidth="1"/>
    <col min="4099" max="4104" width="12.7109375" style="9" customWidth="1"/>
    <col min="4105" max="4105" width="13" style="9" customWidth="1"/>
    <col min="4106" max="4107" width="12.7109375" style="9" customWidth="1"/>
    <col min="4108" max="4108" width="9.140625" style="9"/>
    <col min="4109" max="4109" width="11.140625" style="9" bestFit="1" customWidth="1"/>
    <col min="4110" max="4348" width="9.140625" style="9"/>
    <col min="4349" max="4349" width="4" style="9" customWidth="1"/>
    <col min="4350" max="4350" width="30.7109375" style="9" customWidth="1"/>
    <col min="4351" max="4352" width="10" style="9" customWidth="1"/>
    <col min="4353" max="4353" width="9.85546875" style="9" customWidth="1"/>
    <col min="4354" max="4354" width="12.42578125" style="9" customWidth="1"/>
    <col min="4355" max="4360" width="12.7109375" style="9" customWidth="1"/>
    <col min="4361" max="4361" width="13" style="9" customWidth="1"/>
    <col min="4362" max="4363" width="12.7109375" style="9" customWidth="1"/>
    <col min="4364" max="4364" width="9.140625" style="9"/>
    <col min="4365" max="4365" width="11.140625" style="9" bestFit="1" customWidth="1"/>
    <col min="4366" max="4604" width="9.140625" style="9"/>
    <col min="4605" max="4605" width="4" style="9" customWidth="1"/>
    <col min="4606" max="4606" width="30.7109375" style="9" customWidth="1"/>
    <col min="4607" max="4608" width="10" style="9" customWidth="1"/>
    <col min="4609" max="4609" width="9.85546875" style="9" customWidth="1"/>
    <col min="4610" max="4610" width="12.42578125" style="9" customWidth="1"/>
    <col min="4611" max="4616" width="12.7109375" style="9" customWidth="1"/>
    <col min="4617" max="4617" width="13" style="9" customWidth="1"/>
    <col min="4618" max="4619" width="12.7109375" style="9" customWidth="1"/>
    <col min="4620" max="4620" width="9.140625" style="9"/>
    <col min="4621" max="4621" width="11.140625" style="9" bestFit="1" customWidth="1"/>
    <col min="4622" max="4860" width="9.140625" style="9"/>
    <col min="4861" max="4861" width="4" style="9" customWidth="1"/>
    <col min="4862" max="4862" width="30.7109375" style="9" customWidth="1"/>
    <col min="4863" max="4864" width="10" style="9" customWidth="1"/>
    <col min="4865" max="4865" width="9.85546875" style="9" customWidth="1"/>
    <col min="4866" max="4866" width="12.42578125" style="9" customWidth="1"/>
    <col min="4867" max="4872" width="12.7109375" style="9" customWidth="1"/>
    <col min="4873" max="4873" width="13" style="9" customWidth="1"/>
    <col min="4874" max="4875" width="12.7109375" style="9" customWidth="1"/>
    <col min="4876" max="4876" width="9.140625" style="9"/>
    <col min="4877" max="4877" width="11.140625" style="9" bestFit="1" customWidth="1"/>
    <col min="4878" max="5116" width="9.140625" style="9"/>
    <col min="5117" max="5117" width="4" style="9" customWidth="1"/>
    <col min="5118" max="5118" width="30.7109375" style="9" customWidth="1"/>
    <col min="5119" max="5120" width="10" style="9" customWidth="1"/>
    <col min="5121" max="5121" width="9.85546875" style="9" customWidth="1"/>
    <col min="5122" max="5122" width="12.42578125" style="9" customWidth="1"/>
    <col min="5123" max="5128" width="12.7109375" style="9" customWidth="1"/>
    <col min="5129" max="5129" width="13" style="9" customWidth="1"/>
    <col min="5130" max="5131" width="12.7109375" style="9" customWidth="1"/>
    <col min="5132" max="5132" width="9.140625" style="9"/>
    <col min="5133" max="5133" width="11.140625" style="9" bestFit="1" customWidth="1"/>
    <col min="5134" max="5372" width="9.140625" style="9"/>
    <col min="5373" max="5373" width="4" style="9" customWidth="1"/>
    <col min="5374" max="5374" width="30.7109375" style="9" customWidth="1"/>
    <col min="5375" max="5376" width="10" style="9" customWidth="1"/>
    <col min="5377" max="5377" width="9.85546875" style="9" customWidth="1"/>
    <col min="5378" max="5378" width="12.42578125" style="9" customWidth="1"/>
    <col min="5379" max="5384" width="12.7109375" style="9" customWidth="1"/>
    <col min="5385" max="5385" width="13" style="9" customWidth="1"/>
    <col min="5386" max="5387" width="12.7109375" style="9" customWidth="1"/>
    <col min="5388" max="5388" width="9.140625" style="9"/>
    <col min="5389" max="5389" width="11.140625" style="9" bestFit="1" customWidth="1"/>
    <col min="5390" max="5628" width="9.140625" style="9"/>
    <col min="5629" max="5629" width="4" style="9" customWidth="1"/>
    <col min="5630" max="5630" width="30.7109375" style="9" customWidth="1"/>
    <col min="5631" max="5632" width="10" style="9" customWidth="1"/>
    <col min="5633" max="5633" width="9.85546875" style="9" customWidth="1"/>
    <col min="5634" max="5634" width="12.42578125" style="9" customWidth="1"/>
    <col min="5635" max="5640" width="12.7109375" style="9" customWidth="1"/>
    <col min="5641" max="5641" width="13" style="9" customWidth="1"/>
    <col min="5642" max="5643" width="12.7109375" style="9" customWidth="1"/>
    <col min="5644" max="5644" width="9.140625" style="9"/>
    <col min="5645" max="5645" width="11.140625" style="9" bestFit="1" customWidth="1"/>
    <col min="5646" max="5884" width="9.140625" style="9"/>
    <col min="5885" max="5885" width="4" style="9" customWidth="1"/>
    <col min="5886" max="5886" width="30.7109375" style="9" customWidth="1"/>
    <col min="5887" max="5888" width="10" style="9" customWidth="1"/>
    <col min="5889" max="5889" width="9.85546875" style="9" customWidth="1"/>
    <col min="5890" max="5890" width="12.42578125" style="9" customWidth="1"/>
    <col min="5891" max="5896" width="12.7109375" style="9" customWidth="1"/>
    <col min="5897" max="5897" width="13" style="9" customWidth="1"/>
    <col min="5898" max="5899" width="12.7109375" style="9" customWidth="1"/>
    <col min="5900" max="5900" width="9.140625" style="9"/>
    <col min="5901" max="5901" width="11.140625" style="9" bestFit="1" customWidth="1"/>
    <col min="5902" max="6140" width="9.140625" style="9"/>
    <col min="6141" max="6141" width="4" style="9" customWidth="1"/>
    <col min="6142" max="6142" width="30.7109375" style="9" customWidth="1"/>
    <col min="6143" max="6144" width="10" style="9" customWidth="1"/>
    <col min="6145" max="6145" width="9.85546875" style="9" customWidth="1"/>
    <col min="6146" max="6146" width="12.42578125" style="9" customWidth="1"/>
    <col min="6147" max="6152" width="12.7109375" style="9" customWidth="1"/>
    <col min="6153" max="6153" width="13" style="9" customWidth="1"/>
    <col min="6154" max="6155" width="12.7109375" style="9" customWidth="1"/>
    <col min="6156" max="6156" width="9.140625" style="9"/>
    <col min="6157" max="6157" width="11.140625" style="9" bestFit="1" customWidth="1"/>
    <col min="6158" max="6396" width="9.140625" style="9"/>
    <col min="6397" max="6397" width="4" style="9" customWidth="1"/>
    <col min="6398" max="6398" width="30.7109375" style="9" customWidth="1"/>
    <col min="6399" max="6400" width="10" style="9" customWidth="1"/>
    <col min="6401" max="6401" width="9.85546875" style="9" customWidth="1"/>
    <col min="6402" max="6402" width="12.42578125" style="9" customWidth="1"/>
    <col min="6403" max="6408" width="12.7109375" style="9" customWidth="1"/>
    <col min="6409" max="6409" width="13" style="9" customWidth="1"/>
    <col min="6410" max="6411" width="12.7109375" style="9" customWidth="1"/>
    <col min="6412" max="6412" width="9.140625" style="9"/>
    <col min="6413" max="6413" width="11.140625" style="9" bestFit="1" customWidth="1"/>
    <col min="6414" max="6652" width="9.140625" style="9"/>
    <col min="6653" max="6653" width="4" style="9" customWidth="1"/>
    <col min="6654" max="6654" width="30.7109375" style="9" customWidth="1"/>
    <col min="6655" max="6656" width="10" style="9" customWidth="1"/>
    <col min="6657" max="6657" width="9.85546875" style="9" customWidth="1"/>
    <col min="6658" max="6658" width="12.42578125" style="9" customWidth="1"/>
    <col min="6659" max="6664" width="12.7109375" style="9" customWidth="1"/>
    <col min="6665" max="6665" width="13" style="9" customWidth="1"/>
    <col min="6666" max="6667" width="12.7109375" style="9" customWidth="1"/>
    <col min="6668" max="6668" width="9.140625" style="9"/>
    <col min="6669" max="6669" width="11.140625" style="9" bestFit="1" customWidth="1"/>
    <col min="6670" max="6908" width="9.140625" style="9"/>
    <col min="6909" max="6909" width="4" style="9" customWidth="1"/>
    <col min="6910" max="6910" width="30.7109375" style="9" customWidth="1"/>
    <col min="6911" max="6912" width="10" style="9" customWidth="1"/>
    <col min="6913" max="6913" width="9.85546875" style="9" customWidth="1"/>
    <col min="6914" max="6914" width="12.42578125" style="9" customWidth="1"/>
    <col min="6915" max="6920" width="12.7109375" style="9" customWidth="1"/>
    <col min="6921" max="6921" width="13" style="9" customWidth="1"/>
    <col min="6922" max="6923" width="12.7109375" style="9" customWidth="1"/>
    <col min="6924" max="6924" width="9.140625" style="9"/>
    <col min="6925" max="6925" width="11.140625" style="9" bestFit="1" customWidth="1"/>
    <col min="6926" max="7164" width="9.140625" style="9"/>
    <col min="7165" max="7165" width="4" style="9" customWidth="1"/>
    <col min="7166" max="7166" width="30.7109375" style="9" customWidth="1"/>
    <col min="7167" max="7168" width="10" style="9" customWidth="1"/>
    <col min="7169" max="7169" width="9.85546875" style="9" customWidth="1"/>
    <col min="7170" max="7170" width="12.42578125" style="9" customWidth="1"/>
    <col min="7171" max="7176" width="12.7109375" style="9" customWidth="1"/>
    <col min="7177" max="7177" width="13" style="9" customWidth="1"/>
    <col min="7178" max="7179" width="12.7109375" style="9" customWidth="1"/>
    <col min="7180" max="7180" width="9.140625" style="9"/>
    <col min="7181" max="7181" width="11.140625" style="9" bestFit="1" customWidth="1"/>
    <col min="7182" max="7420" width="9.140625" style="9"/>
    <col min="7421" max="7421" width="4" style="9" customWidth="1"/>
    <col min="7422" max="7422" width="30.7109375" style="9" customWidth="1"/>
    <col min="7423" max="7424" width="10" style="9" customWidth="1"/>
    <col min="7425" max="7425" width="9.85546875" style="9" customWidth="1"/>
    <col min="7426" max="7426" width="12.42578125" style="9" customWidth="1"/>
    <col min="7427" max="7432" width="12.7109375" style="9" customWidth="1"/>
    <col min="7433" max="7433" width="13" style="9" customWidth="1"/>
    <col min="7434" max="7435" width="12.7109375" style="9" customWidth="1"/>
    <col min="7436" max="7436" width="9.140625" style="9"/>
    <col min="7437" max="7437" width="11.140625" style="9" bestFit="1" customWidth="1"/>
    <col min="7438" max="7676" width="9.140625" style="9"/>
    <col min="7677" max="7677" width="4" style="9" customWidth="1"/>
    <col min="7678" max="7678" width="30.7109375" style="9" customWidth="1"/>
    <col min="7679" max="7680" width="10" style="9" customWidth="1"/>
    <col min="7681" max="7681" width="9.85546875" style="9" customWidth="1"/>
    <col min="7682" max="7682" width="12.42578125" style="9" customWidth="1"/>
    <col min="7683" max="7688" width="12.7109375" style="9" customWidth="1"/>
    <col min="7689" max="7689" width="13" style="9" customWidth="1"/>
    <col min="7690" max="7691" width="12.7109375" style="9" customWidth="1"/>
    <col min="7692" max="7692" width="9.140625" style="9"/>
    <col min="7693" max="7693" width="11.140625" style="9" bestFit="1" customWidth="1"/>
    <col min="7694" max="7932" width="9.140625" style="9"/>
    <col min="7933" max="7933" width="4" style="9" customWidth="1"/>
    <col min="7934" max="7934" width="30.7109375" style="9" customWidth="1"/>
    <col min="7935" max="7936" width="10" style="9" customWidth="1"/>
    <col min="7937" max="7937" width="9.85546875" style="9" customWidth="1"/>
    <col min="7938" max="7938" width="12.42578125" style="9" customWidth="1"/>
    <col min="7939" max="7944" width="12.7109375" style="9" customWidth="1"/>
    <col min="7945" max="7945" width="13" style="9" customWidth="1"/>
    <col min="7946" max="7947" width="12.7109375" style="9" customWidth="1"/>
    <col min="7948" max="7948" width="9.140625" style="9"/>
    <col min="7949" max="7949" width="11.140625" style="9" bestFit="1" customWidth="1"/>
    <col min="7950" max="8188" width="9.140625" style="9"/>
    <col min="8189" max="8189" width="4" style="9" customWidth="1"/>
    <col min="8190" max="8190" width="30.7109375" style="9" customWidth="1"/>
    <col min="8191" max="8192" width="10" style="9" customWidth="1"/>
    <col min="8193" max="8193" width="9.85546875" style="9" customWidth="1"/>
    <col min="8194" max="8194" width="12.42578125" style="9" customWidth="1"/>
    <col min="8195" max="8200" width="12.7109375" style="9" customWidth="1"/>
    <col min="8201" max="8201" width="13" style="9" customWidth="1"/>
    <col min="8202" max="8203" width="12.7109375" style="9" customWidth="1"/>
    <col min="8204" max="8204" width="9.140625" style="9"/>
    <col min="8205" max="8205" width="11.140625" style="9" bestFit="1" customWidth="1"/>
    <col min="8206" max="8444" width="9.140625" style="9"/>
    <col min="8445" max="8445" width="4" style="9" customWidth="1"/>
    <col min="8446" max="8446" width="30.7109375" style="9" customWidth="1"/>
    <col min="8447" max="8448" width="10" style="9" customWidth="1"/>
    <col min="8449" max="8449" width="9.85546875" style="9" customWidth="1"/>
    <col min="8450" max="8450" width="12.42578125" style="9" customWidth="1"/>
    <col min="8451" max="8456" width="12.7109375" style="9" customWidth="1"/>
    <col min="8457" max="8457" width="13" style="9" customWidth="1"/>
    <col min="8458" max="8459" width="12.7109375" style="9" customWidth="1"/>
    <col min="8460" max="8460" width="9.140625" style="9"/>
    <col min="8461" max="8461" width="11.140625" style="9" bestFit="1" customWidth="1"/>
    <col min="8462" max="8700" width="9.140625" style="9"/>
    <col min="8701" max="8701" width="4" style="9" customWidth="1"/>
    <col min="8702" max="8702" width="30.7109375" style="9" customWidth="1"/>
    <col min="8703" max="8704" width="10" style="9" customWidth="1"/>
    <col min="8705" max="8705" width="9.85546875" style="9" customWidth="1"/>
    <col min="8706" max="8706" width="12.42578125" style="9" customWidth="1"/>
    <col min="8707" max="8712" width="12.7109375" style="9" customWidth="1"/>
    <col min="8713" max="8713" width="13" style="9" customWidth="1"/>
    <col min="8714" max="8715" width="12.7109375" style="9" customWidth="1"/>
    <col min="8716" max="8716" width="9.140625" style="9"/>
    <col min="8717" max="8717" width="11.140625" style="9" bestFit="1" customWidth="1"/>
    <col min="8718" max="8956" width="9.140625" style="9"/>
    <col min="8957" max="8957" width="4" style="9" customWidth="1"/>
    <col min="8958" max="8958" width="30.7109375" style="9" customWidth="1"/>
    <col min="8959" max="8960" width="10" style="9" customWidth="1"/>
    <col min="8961" max="8961" width="9.85546875" style="9" customWidth="1"/>
    <col min="8962" max="8962" width="12.42578125" style="9" customWidth="1"/>
    <col min="8963" max="8968" width="12.7109375" style="9" customWidth="1"/>
    <col min="8969" max="8969" width="13" style="9" customWidth="1"/>
    <col min="8970" max="8971" width="12.7109375" style="9" customWidth="1"/>
    <col min="8972" max="8972" width="9.140625" style="9"/>
    <col min="8973" max="8973" width="11.140625" style="9" bestFit="1" customWidth="1"/>
    <col min="8974" max="9212" width="9.140625" style="9"/>
    <col min="9213" max="9213" width="4" style="9" customWidth="1"/>
    <col min="9214" max="9214" width="30.7109375" style="9" customWidth="1"/>
    <col min="9215" max="9216" width="10" style="9" customWidth="1"/>
    <col min="9217" max="9217" width="9.85546875" style="9" customWidth="1"/>
    <col min="9218" max="9218" width="12.42578125" style="9" customWidth="1"/>
    <col min="9219" max="9224" width="12.7109375" style="9" customWidth="1"/>
    <col min="9225" max="9225" width="13" style="9" customWidth="1"/>
    <col min="9226" max="9227" width="12.7109375" style="9" customWidth="1"/>
    <col min="9228" max="9228" width="9.140625" style="9"/>
    <col min="9229" max="9229" width="11.140625" style="9" bestFit="1" customWidth="1"/>
    <col min="9230" max="9468" width="9.140625" style="9"/>
    <col min="9469" max="9469" width="4" style="9" customWidth="1"/>
    <col min="9470" max="9470" width="30.7109375" style="9" customWidth="1"/>
    <col min="9471" max="9472" width="10" style="9" customWidth="1"/>
    <col min="9473" max="9473" width="9.85546875" style="9" customWidth="1"/>
    <col min="9474" max="9474" width="12.42578125" style="9" customWidth="1"/>
    <col min="9475" max="9480" width="12.7109375" style="9" customWidth="1"/>
    <col min="9481" max="9481" width="13" style="9" customWidth="1"/>
    <col min="9482" max="9483" width="12.7109375" style="9" customWidth="1"/>
    <col min="9484" max="9484" width="9.140625" style="9"/>
    <col min="9485" max="9485" width="11.140625" style="9" bestFit="1" customWidth="1"/>
    <col min="9486" max="9724" width="9.140625" style="9"/>
    <col min="9725" max="9725" width="4" style="9" customWidth="1"/>
    <col min="9726" max="9726" width="30.7109375" style="9" customWidth="1"/>
    <col min="9727" max="9728" width="10" style="9" customWidth="1"/>
    <col min="9729" max="9729" width="9.85546875" style="9" customWidth="1"/>
    <col min="9730" max="9730" width="12.42578125" style="9" customWidth="1"/>
    <col min="9731" max="9736" width="12.7109375" style="9" customWidth="1"/>
    <col min="9737" max="9737" width="13" style="9" customWidth="1"/>
    <col min="9738" max="9739" width="12.7109375" style="9" customWidth="1"/>
    <col min="9740" max="9740" width="9.140625" style="9"/>
    <col min="9741" max="9741" width="11.140625" style="9" bestFit="1" customWidth="1"/>
    <col min="9742" max="9980" width="9.140625" style="9"/>
    <col min="9981" max="9981" width="4" style="9" customWidth="1"/>
    <col min="9982" max="9982" width="30.7109375" style="9" customWidth="1"/>
    <col min="9983" max="9984" width="10" style="9" customWidth="1"/>
    <col min="9985" max="9985" width="9.85546875" style="9" customWidth="1"/>
    <col min="9986" max="9986" width="12.42578125" style="9" customWidth="1"/>
    <col min="9987" max="9992" width="12.7109375" style="9" customWidth="1"/>
    <col min="9993" max="9993" width="13" style="9" customWidth="1"/>
    <col min="9994" max="9995" width="12.7109375" style="9" customWidth="1"/>
    <col min="9996" max="9996" width="9.140625" style="9"/>
    <col min="9997" max="9997" width="11.140625" style="9" bestFit="1" customWidth="1"/>
    <col min="9998" max="10236" width="9.140625" style="9"/>
    <col min="10237" max="10237" width="4" style="9" customWidth="1"/>
    <col min="10238" max="10238" width="30.7109375" style="9" customWidth="1"/>
    <col min="10239" max="10240" width="10" style="9" customWidth="1"/>
    <col min="10241" max="10241" width="9.85546875" style="9" customWidth="1"/>
    <col min="10242" max="10242" width="12.42578125" style="9" customWidth="1"/>
    <col min="10243" max="10248" width="12.7109375" style="9" customWidth="1"/>
    <col min="10249" max="10249" width="13" style="9" customWidth="1"/>
    <col min="10250" max="10251" width="12.7109375" style="9" customWidth="1"/>
    <col min="10252" max="10252" width="9.140625" style="9"/>
    <col min="10253" max="10253" width="11.140625" style="9" bestFit="1" customWidth="1"/>
    <col min="10254" max="10492" width="9.140625" style="9"/>
    <col min="10493" max="10493" width="4" style="9" customWidth="1"/>
    <col min="10494" max="10494" width="30.7109375" style="9" customWidth="1"/>
    <col min="10495" max="10496" width="10" style="9" customWidth="1"/>
    <col min="10497" max="10497" width="9.85546875" style="9" customWidth="1"/>
    <col min="10498" max="10498" width="12.42578125" style="9" customWidth="1"/>
    <col min="10499" max="10504" width="12.7109375" style="9" customWidth="1"/>
    <col min="10505" max="10505" width="13" style="9" customWidth="1"/>
    <col min="10506" max="10507" width="12.7109375" style="9" customWidth="1"/>
    <col min="10508" max="10508" width="9.140625" style="9"/>
    <col min="10509" max="10509" width="11.140625" style="9" bestFit="1" customWidth="1"/>
    <col min="10510" max="10748" width="9.140625" style="9"/>
    <col min="10749" max="10749" width="4" style="9" customWidth="1"/>
    <col min="10750" max="10750" width="30.7109375" style="9" customWidth="1"/>
    <col min="10751" max="10752" width="10" style="9" customWidth="1"/>
    <col min="10753" max="10753" width="9.85546875" style="9" customWidth="1"/>
    <col min="10754" max="10754" width="12.42578125" style="9" customWidth="1"/>
    <col min="10755" max="10760" width="12.7109375" style="9" customWidth="1"/>
    <col min="10761" max="10761" width="13" style="9" customWidth="1"/>
    <col min="10762" max="10763" width="12.7109375" style="9" customWidth="1"/>
    <col min="10764" max="10764" width="9.140625" style="9"/>
    <col min="10765" max="10765" width="11.140625" style="9" bestFit="1" customWidth="1"/>
    <col min="10766" max="11004" width="9.140625" style="9"/>
    <col min="11005" max="11005" width="4" style="9" customWidth="1"/>
    <col min="11006" max="11006" width="30.7109375" style="9" customWidth="1"/>
    <col min="11007" max="11008" width="10" style="9" customWidth="1"/>
    <col min="11009" max="11009" width="9.85546875" style="9" customWidth="1"/>
    <col min="11010" max="11010" width="12.42578125" style="9" customWidth="1"/>
    <col min="11011" max="11016" width="12.7109375" style="9" customWidth="1"/>
    <col min="11017" max="11017" width="13" style="9" customWidth="1"/>
    <col min="11018" max="11019" width="12.7109375" style="9" customWidth="1"/>
    <col min="11020" max="11020" width="9.140625" style="9"/>
    <col min="11021" max="11021" width="11.140625" style="9" bestFit="1" customWidth="1"/>
    <col min="11022" max="11260" width="9.140625" style="9"/>
    <col min="11261" max="11261" width="4" style="9" customWidth="1"/>
    <col min="11262" max="11262" width="30.7109375" style="9" customWidth="1"/>
    <col min="11263" max="11264" width="10" style="9" customWidth="1"/>
    <col min="11265" max="11265" width="9.85546875" style="9" customWidth="1"/>
    <col min="11266" max="11266" width="12.42578125" style="9" customWidth="1"/>
    <col min="11267" max="11272" width="12.7109375" style="9" customWidth="1"/>
    <col min="11273" max="11273" width="13" style="9" customWidth="1"/>
    <col min="11274" max="11275" width="12.7109375" style="9" customWidth="1"/>
    <col min="11276" max="11276" width="9.140625" style="9"/>
    <col min="11277" max="11277" width="11.140625" style="9" bestFit="1" customWidth="1"/>
    <col min="11278" max="11516" width="9.140625" style="9"/>
    <col min="11517" max="11517" width="4" style="9" customWidth="1"/>
    <col min="11518" max="11518" width="30.7109375" style="9" customWidth="1"/>
    <col min="11519" max="11520" width="10" style="9" customWidth="1"/>
    <col min="11521" max="11521" width="9.85546875" style="9" customWidth="1"/>
    <col min="11522" max="11522" width="12.42578125" style="9" customWidth="1"/>
    <col min="11523" max="11528" width="12.7109375" style="9" customWidth="1"/>
    <col min="11529" max="11529" width="13" style="9" customWidth="1"/>
    <col min="11530" max="11531" width="12.7109375" style="9" customWidth="1"/>
    <col min="11532" max="11532" width="9.140625" style="9"/>
    <col min="11533" max="11533" width="11.140625" style="9" bestFit="1" customWidth="1"/>
    <col min="11534" max="11772" width="9.140625" style="9"/>
    <col min="11773" max="11773" width="4" style="9" customWidth="1"/>
    <col min="11774" max="11774" width="30.7109375" style="9" customWidth="1"/>
    <col min="11775" max="11776" width="10" style="9" customWidth="1"/>
    <col min="11777" max="11777" width="9.85546875" style="9" customWidth="1"/>
    <col min="11778" max="11778" width="12.42578125" style="9" customWidth="1"/>
    <col min="11779" max="11784" width="12.7109375" style="9" customWidth="1"/>
    <col min="11785" max="11785" width="13" style="9" customWidth="1"/>
    <col min="11786" max="11787" width="12.7109375" style="9" customWidth="1"/>
    <col min="11788" max="11788" width="9.140625" style="9"/>
    <col min="11789" max="11789" width="11.140625" style="9" bestFit="1" customWidth="1"/>
    <col min="11790" max="12028" width="9.140625" style="9"/>
    <col min="12029" max="12029" width="4" style="9" customWidth="1"/>
    <col min="12030" max="12030" width="30.7109375" style="9" customWidth="1"/>
    <col min="12031" max="12032" width="10" style="9" customWidth="1"/>
    <col min="12033" max="12033" width="9.85546875" style="9" customWidth="1"/>
    <col min="12034" max="12034" width="12.42578125" style="9" customWidth="1"/>
    <col min="12035" max="12040" width="12.7109375" style="9" customWidth="1"/>
    <col min="12041" max="12041" width="13" style="9" customWidth="1"/>
    <col min="12042" max="12043" width="12.7109375" style="9" customWidth="1"/>
    <col min="12044" max="12044" width="9.140625" style="9"/>
    <col min="12045" max="12045" width="11.140625" style="9" bestFit="1" customWidth="1"/>
    <col min="12046" max="12284" width="9.140625" style="9"/>
    <col min="12285" max="12285" width="4" style="9" customWidth="1"/>
    <col min="12286" max="12286" width="30.7109375" style="9" customWidth="1"/>
    <col min="12287" max="12288" width="10" style="9" customWidth="1"/>
    <col min="12289" max="12289" width="9.85546875" style="9" customWidth="1"/>
    <col min="12290" max="12290" width="12.42578125" style="9" customWidth="1"/>
    <col min="12291" max="12296" width="12.7109375" style="9" customWidth="1"/>
    <col min="12297" max="12297" width="13" style="9" customWidth="1"/>
    <col min="12298" max="12299" width="12.7109375" style="9" customWidth="1"/>
    <col min="12300" max="12300" width="9.140625" style="9"/>
    <col min="12301" max="12301" width="11.140625" style="9" bestFit="1" customWidth="1"/>
    <col min="12302" max="12540" width="9.140625" style="9"/>
    <col min="12541" max="12541" width="4" style="9" customWidth="1"/>
    <col min="12542" max="12542" width="30.7109375" style="9" customWidth="1"/>
    <col min="12543" max="12544" width="10" style="9" customWidth="1"/>
    <col min="12545" max="12545" width="9.85546875" style="9" customWidth="1"/>
    <col min="12546" max="12546" width="12.42578125" style="9" customWidth="1"/>
    <col min="12547" max="12552" width="12.7109375" style="9" customWidth="1"/>
    <col min="12553" max="12553" width="13" style="9" customWidth="1"/>
    <col min="12554" max="12555" width="12.7109375" style="9" customWidth="1"/>
    <col min="12556" max="12556" width="9.140625" style="9"/>
    <col min="12557" max="12557" width="11.140625" style="9" bestFit="1" customWidth="1"/>
    <col min="12558" max="12796" width="9.140625" style="9"/>
    <col min="12797" max="12797" width="4" style="9" customWidth="1"/>
    <col min="12798" max="12798" width="30.7109375" style="9" customWidth="1"/>
    <col min="12799" max="12800" width="10" style="9" customWidth="1"/>
    <col min="12801" max="12801" width="9.85546875" style="9" customWidth="1"/>
    <col min="12802" max="12802" width="12.42578125" style="9" customWidth="1"/>
    <col min="12803" max="12808" width="12.7109375" style="9" customWidth="1"/>
    <col min="12809" max="12809" width="13" style="9" customWidth="1"/>
    <col min="12810" max="12811" width="12.7109375" style="9" customWidth="1"/>
    <col min="12812" max="12812" width="9.140625" style="9"/>
    <col min="12813" max="12813" width="11.140625" style="9" bestFit="1" customWidth="1"/>
    <col min="12814" max="13052" width="9.140625" style="9"/>
    <col min="13053" max="13053" width="4" style="9" customWidth="1"/>
    <col min="13054" max="13054" width="30.7109375" style="9" customWidth="1"/>
    <col min="13055" max="13056" width="10" style="9" customWidth="1"/>
    <col min="13057" max="13057" width="9.85546875" style="9" customWidth="1"/>
    <col min="13058" max="13058" width="12.42578125" style="9" customWidth="1"/>
    <col min="13059" max="13064" width="12.7109375" style="9" customWidth="1"/>
    <col min="13065" max="13065" width="13" style="9" customWidth="1"/>
    <col min="13066" max="13067" width="12.7109375" style="9" customWidth="1"/>
    <col min="13068" max="13068" width="9.140625" style="9"/>
    <col min="13069" max="13069" width="11.140625" style="9" bestFit="1" customWidth="1"/>
    <col min="13070" max="13308" width="9.140625" style="9"/>
    <col min="13309" max="13309" width="4" style="9" customWidth="1"/>
    <col min="13310" max="13310" width="30.7109375" style="9" customWidth="1"/>
    <col min="13311" max="13312" width="10" style="9" customWidth="1"/>
    <col min="13313" max="13313" width="9.85546875" style="9" customWidth="1"/>
    <col min="13314" max="13314" width="12.42578125" style="9" customWidth="1"/>
    <col min="13315" max="13320" width="12.7109375" style="9" customWidth="1"/>
    <col min="13321" max="13321" width="13" style="9" customWidth="1"/>
    <col min="13322" max="13323" width="12.7109375" style="9" customWidth="1"/>
    <col min="13324" max="13324" width="9.140625" style="9"/>
    <col min="13325" max="13325" width="11.140625" style="9" bestFit="1" customWidth="1"/>
    <col min="13326" max="13564" width="9.140625" style="9"/>
    <col min="13565" max="13565" width="4" style="9" customWidth="1"/>
    <col min="13566" max="13566" width="30.7109375" style="9" customWidth="1"/>
    <col min="13567" max="13568" width="10" style="9" customWidth="1"/>
    <col min="13569" max="13569" width="9.85546875" style="9" customWidth="1"/>
    <col min="13570" max="13570" width="12.42578125" style="9" customWidth="1"/>
    <col min="13571" max="13576" width="12.7109375" style="9" customWidth="1"/>
    <col min="13577" max="13577" width="13" style="9" customWidth="1"/>
    <col min="13578" max="13579" width="12.7109375" style="9" customWidth="1"/>
    <col min="13580" max="13580" width="9.140625" style="9"/>
    <col min="13581" max="13581" width="11.140625" style="9" bestFit="1" customWidth="1"/>
    <col min="13582" max="13820" width="9.140625" style="9"/>
    <col min="13821" max="13821" width="4" style="9" customWidth="1"/>
    <col min="13822" max="13822" width="30.7109375" style="9" customWidth="1"/>
    <col min="13823" max="13824" width="10" style="9" customWidth="1"/>
    <col min="13825" max="13825" width="9.85546875" style="9" customWidth="1"/>
    <col min="13826" max="13826" width="12.42578125" style="9" customWidth="1"/>
    <col min="13827" max="13832" width="12.7109375" style="9" customWidth="1"/>
    <col min="13833" max="13833" width="13" style="9" customWidth="1"/>
    <col min="13834" max="13835" width="12.7109375" style="9" customWidth="1"/>
    <col min="13836" max="13836" width="9.140625" style="9"/>
    <col min="13837" max="13837" width="11.140625" style="9" bestFit="1" customWidth="1"/>
    <col min="13838" max="14076" width="9.140625" style="9"/>
    <col min="14077" max="14077" width="4" style="9" customWidth="1"/>
    <col min="14078" max="14078" width="30.7109375" style="9" customWidth="1"/>
    <col min="14079" max="14080" width="10" style="9" customWidth="1"/>
    <col min="14081" max="14081" width="9.85546875" style="9" customWidth="1"/>
    <col min="14082" max="14082" width="12.42578125" style="9" customWidth="1"/>
    <col min="14083" max="14088" width="12.7109375" style="9" customWidth="1"/>
    <col min="14089" max="14089" width="13" style="9" customWidth="1"/>
    <col min="14090" max="14091" width="12.7109375" style="9" customWidth="1"/>
    <col min="14092" max="14092" width="9.140625" style="9"/>
    <col min="14093" max="14093" width="11.140625" style="9" bestFit="1" customWidth="1"/>
    <col min="14094" max="14332" width="9.140625" style="9"/>
    <col min="14333" max="14333" width="4" style="9" customWidth="1"/>
    <col min="14334" max="14334" width="30.7109375" style="9" customWidth="1"/>
    <col min="14335" max="14336" width="10" style="9" customWidth="1"/>
    <col min="14337" max="14337" width="9.85546875" style="9" customWidth="1"/>
    <col min="14338" max="14338" width="12.42578125" style="9" customWidth="1"/>
    <col min="14339" max="14344" width="12.7109375" style="9" customWidth="1"/>
    <col min="14345" max="14345" width="13" style="9" customWidth="1"/>
    <col min="14346" max="14347" width="12.7109375" style="9" customWidth="1"/>
    <col min="14348" max="14348" width="9.140625" style="9"/>
    <col min="14349" max="14349" width="11.140625" style="9" bestFit="1" customWidth="1"/>
    <col min="14350" max="14588" width="9.140625" style="9"/>
    <col min="14589" max="14589" width="4" style="9" customWidth="1"/>
    <col min="14590" max="14590" width="30.7109375" style="9" customWidth="1"/>
    <col min="14591" max="14592" width="10" style="9" customWidth="1"/>
    <col min="14593" max="14593" width="9.85546875" style="9" customWidth="1"/>
    <col min="14594" max="14594" width="12.42578125" style="9" customWidth="1"/>
    <col min="14595" max="14600" width="12.7109375" style="9" customWidth="1"/>
    <col min="14601" max="14601" width="13" style="9" customWidth="1"/>
    <col min="14602" max="14603" width="12.7109375" style="9" customWidth="1"/>
    <col min="14604" max="14604" width="9.140625" style="9"/>
    <col min="14605" max="14605" width="11.140625" style="9" bestFit="1" customWidth="1"/>
    <col min="14606" max="14844" width="9.140625" style="9"/>
    <col min="14845" max="14845" width="4" style="9" customWidth="1"/>
    <col min="14846" max="14846" width="30.7109375" style="9" customWidth="1"/>
    <col min="14847" max="14848" width="10" style="9" customWidth="1"/>
    <col min="14849" max="14849" width="9.85546875" style="9" customWidth="1"/>
    <col min="14850" max="14850" width="12.42578125" style="9" customWidth="1"/>
    <col min="14851" max="14856" width="12.7109375" style="9" customWidth="1"/>
    <col min="14857" max="14857" width="13" style="9" customWidth="1"/>
    <col min="14858" max="14859" width="12.7109375" style="9" customWidth="1"/>
    <col min="14860" max="14860" width="9.140625" style="9"/>
    <col min="14861" max="14861" width="11.140625" style="9" bestFit="1" customWidth="1"/>
    <col min="14862" max="15100" width="9.140625" style="9"/>
    <col min="15101" max="15101" width="4" style="9" customWidth="1"/>
    <col min="15102" max="15102" width="30.7109375" style="9" customWidth="1"/>
    <col min="15103" max="15104" width="10" style="9" customWidth="1"/>
    <col min="15105" max="15105" width="9.85546875" style="9" customWidth="1"/>
    <col min="15106" max="15106" width="12.42578125" style="9" customWidth="1"/>
    <col min="15107" max="15112" width="12.7109375" style="9" customWidth="1"/>
    <col min="15113" max="15113" width="13" style="9" customWidth="1"/>
    <col min="15114" max="15115" width="12.7109375" style="9" customWidth="1"/>
    <col min="15116" max="15116" width="9.140625" style="9"/>
    <col min="15117" max="15117" width="11.140625" style="9" bestFit="1" customWidth="1"/>
    <col min="15118" max="15356" width="9.140625" style="9"/>
    <col min="15357" max="15357" width="4" style="9" customWidth="1"/>
    <col min="15358" max="15358" width="30.7109375" style="9" customWidth="1"/>
    <col min="15359" max="15360" width="10" style="9" customWidth="1"/>
    <col min="15361" max="15361" width="9.85546875" style="9" customWidth="1"/>
    <col min="15362" max="15362" width="12.42578125" style="9" customWidth="1"/>
    <col min="15363" max="15368" width="12.7109375" style="9" customWidth="1"/>
    <col min="15369" max="15369" width="13" style="9" customWidth="1"/>
    <col min="15370" max="15371" width="12.7109375" style="9" customWidth="1"/>
    <col min="15372" max="15372" width="9.140625" style="9"/>
    <col min="15373" max="15373" width="11.140625" style="9" bestFit="1" customWidth="1"/>
    <col min="15374" max="15612" width="9.140625" style="9"/>
    <col min="15613" max="15613" width="4" style="9" customWidth="1"/>
    <col min="15614" max="15614" width="30.7109375" style="9" customWidth="1"/>
    <col min="15615" max="15616" width="10" style="9" customWidth="1"/>
    <col min="15617" max="15617" width="9.85546875" style="9" customWidth="1"/>
    <col min="15618" max="15618" width="12.42578125" style="9" customWidth="1"/>
    <col min="15619" max="15624" width="12.7109375" style="9" customWidth="1"/>
    <col min="15625" max="15625" width="13" style="9" customWidth="1"/>
    <col min="15626" max="15627" width="12.7109375" style="9" customWidth="1"/>
    <col min="15628" max="15628" width="9.140625" style="9"/>
    <col min="15629" max="15629" width="11.140625" style="9" bestFit="1" customWidth="1"/>
    <col min="15630" max="15868" width="9.140625" style="9"/>
    <col min="15869" max="15869" width="4" style="9" customWidth="1"/>
    <col min="15870" max="15870" width="30.7109375" style="9" customWidth="1"/>
    <col min="15871" max="15872" width="10" style="9" customWidth="1"/>
    <col min="15873" max="15873" width="9.85546875" style="9" customWidth="1"/>
    <col min="15874" max="15874" width="12.42578125" style="9" customWidth="1"/>
    <col min="15875" max="15880" width="12.7109375" style="9" customWidth="1"/>
    <col min="15881" max="15881" width="13" style="9" customWidth="1"/>
    <col min="15882" max="15883" width="12.7109375" style="9" customWidth="1"/>
    <col min="15884" max="15884" width="9.140625" style="9"/>
    <col min="15885" max="15885" width="11.140625" style="9" bestFit="1" customWidth="1"/>
    <col min="15886" max="16124" width="9.140625" style="9"/>
    <col min="16125" max="16125" width="4" style="9" customWidth="1"/>
    <col min="16126" max="16126" width="30.7109375" style="9" customWidth="1"/>
    <col min="16127" max="16128" width="10" style="9" customWidth="1"/>
    <col min="16129" max="16129" width="9.85546875" style="9" customWidth="1"/>
    <col min="16130" max="16130" width="12.42578125" style="9" customWidth="1"/>
    <col min="16131" max="16136" width="12.7109375" style="9" customWidth="1"/>
    <col min="16137" max="16137" width="13" style="9" customWidth="1"/>
    <col min="16138" max="16139" width="12.7109375" style="9" customWidth="1"/>
    <col min="16140" max="16140" width="9.140625" style="9"/>
    <col min="16141" max="16141" width="11.140625" style="9" bestFit="1" customWidth="1"/>
    <col min="16142" max="16384" width="9.140625" style="9"/>
  </cols>
  <sheetData>
    <row r="1" spans="1:16" s="7" customFormat="1" ht="13.5" thickBot="1">
      <c r="A1" s="7" t="s">
        <v>15</v>
      </c>
      <c r="B1" s="8"/>
      <c r="D1" s="8"/>
    </row>
    <row r="2" spans="1:16" ht="23.25" thickBot="1">
      <c r="A2" s="1875" t="s">
        <v>16</v>
      </c>
      <c r="B2" s="1876"/>
      <c r="C2" s="1876"/>
      <c r="D2" s="1876"/>
      <c r="E2" s="1876"/>
      <c r="F2" s="1876"/>
      <c r="G2" s="1876"/>
      <c r="H2" s="1876"/>
      <c r="I2" s="1876"/>
      <c r="J2" s="1876"/>
      <c r="K2" s="1876"/>
      <c r="L2" s="1876"/>
    </row>
    <row r="3" spans="1:16" ht="16.5" thickBot="1">
      <c r="A3" s="1877" t="s">
        <v>17</v>
      </c>
      <c r="B3" s="1878"/>
      <c r="C3" s="1878"/>
      <c r="D3" s="1878"/>
      <c r="E3" s="1878"/>
      <c r="F3" s="1878"/>
      <c r="G3" s="1878"/>
      <c r="H3" s="1878"/>
      <c r="I3" s="1878"/>
      <c r="J3" s="1878"/>
      <c r="K3" s="1878"/>
      <c r="L3" s="1878"/>
    </row>
    <row r="4" spans="1:16" ht="25.5">
      <c r="A4" s="10" t="s">
        <v>18</v>
      </c>
      <c r="B4" s="11"/>
      <c r="C4" s="12" t="s">
        <v>19</v>
      </c>
      <c r="D4" s="12"/>
      <c r="E4" s="13"/>
      <c r="F4" s="1879" t="s">
        <v>20</v>
      </c>
      <c r="G4" s="1980" t="s">
        <v>333</v>
      </c>
      <c r="H4" s="1981"/>
      <c r="I4" s="14" t="s">
        <v>21</v>
      </c>
      <c r="J4" s="354"/>
      <c r="K4" s="16" t="s">
        <v>22</v>
      </c>
      <c r="L4" s="17" t="s">
        <v>23</v>
      </c>
    </row>
    <row r="5" spans="1:16" ht="26.25" thickBot="1">
      <c r="A5" s="19" t="s">
        <v>26</v>
      </c>
      <c r="B5" s="20"/>
      <c r="C5" s="21" t="s">
        <v>27</v>
      </c>
      <c r="D5" s="21"/>
      <c r="E5" s="22"/>
      <c r="F5" s="1880"/>
      <c r="G5" s="1982"/>
      <c r="H5" s="1983"/>
      <c r="I5" s="23" t="s">
        <v>28</v>
      </c>
      <c r="J5" s="354"/>
      <c r="K5" s="24" t="s">
        <v>29</v>
      </c>
      <c r="L5" s="25"/>
      <c r="M5" s="25" t="s">
        <v>18</v>
      </c>
      <c r="N5" s="25" t="s">
        <v>31</v>
      </c>
    </row>
    <row r="6" spans="1:16" ht="13.5" thickBot="1">
      <c r="A6" s="26"/>
      <c r="B6" s="27"/>
      <c r="E6" s="28"/>
      <c r="F6" s="355"/>
      <c r="G6" s="30"/>
      <c r="H6" s="28"/>
      <c r="I6" s="31"/>
      <c r="J6" s="28"/>
      <c r="K6" s="31"/>
      <c r="L6" s="28"/>
    </row>
    <row r="7" spans="1:16" ht="31.5" customHeight="1" thickBot="1">
      <c r="A7" s="1946" t="s">
        <v>32</v>
      </c>
      <c r="B7" s="1888" t="s">
        <v>33</v>
      </c>
      <c r="C7" s="1890" t="s">
        <v>34</v>
      </c>
      <c r="D7" s="217"/>
      <c r="E7" s="1892" t="s">
        <v>35</v>
      </c>
      <c r="F7" s="1836" t="s">
        <v>36</v>
      </c>
      <c r="G7" s="1950" t="s">
        <v>293</v>
      </c>
      <c r="H7" s="1951"/>
      <c r="I7" s="1954" t="s">
        <v>294</v>
      </c>
      <c r="J7" s="1956"/>
      <c r="K7" s="1984" t="s">
        <v>334</v>
      </c>
      <c r="L7" s="1985"/>
    </row>
    <row r="8" spans="1:16" ht="19.5" customHeight="1">
      <c r="A8" s="1947"/>
      <c r="B8" s="1889"/>
      <c r="C8" s="1891"/>
      <c r="D8" s="218"/>
      <c r="E8" s="1893"/>
      <c r="F8" s="1837"/>
      <c r="G8" s="1874" t="s">
        <v>335</v>
      </c>
      <c r="H8" s="1874"/>
      <c r="I8" s="1957" t="s">
        <v>336</v>
      </c>
      <c r="J8" s="1959"/>
      <c r="K8" s="1986" t="s">
        <v>337</v>
      </c>
      <c r="L8" s="1987"/>
    </row>
    <row r="9" spans="1:16" ht="21.75" customHeight="1" thickBot="1">
      <c r="A9" s="1947"/>
      <c r="B9" s="1889"/>
      <c r="C9" s="1891"/>
      <c r="D9" s="218"/>
      <c r="E9" s="1893"/>
      <c r="F9" s="1837"/>
      <c r="G9" s="1874"/>
      <c r="H9" s="1874"/>
      <c r="I9" s="1957"/>
      <c r="J9" s="1959"/>
      <c r="K9" s="1988"/>
      <c r="L9" s="1989"/>
      <c r="M9" s="408"/>
    </row>
    <row r="10" spans="1:16" ht="39" customHeight="1" thickBot="1">
      <c r="A10" s="1947"/>
      <c r="B10" s="1889"/>
      <c r="C10" s="1891"/>
      <c r="D10" s="218"/>
      <c r="E10" s="1893"/>
      <c r="F10" s="1837"/>
      <c r="G10" s="1868" t="s">
        <v>299</v>
      </c>
      <c r="H10" s="1990"/>
      <c r="I10" s="1991" t="s">
        <v>300</v>
      </c>
      <c r="J10" s="1992"/>
      <c r="K10" s="1993" t="s">
        <v>301</v>
      </c>
      <c r="L10" s="1979"/>
      <c r="P10" s="409"/>
    </row>
    <row r="11" spans="1:16" ht="13.5" thickBot="1">
      <c r="A11" s="1947"/>
      <c r="B11" s="1889"/>
      <c r="C11" s="1891"/>
      <c r="D11" s="218"/>
      <c r="E11" s="1893"/>
      <c r="F11" s="1837"/>
      <c r="G11" s="1870" t="s">
        <v>46</v>
      </c>
      <c r="H11" s="1871"/>
      <c r="I11" s="1870" t="s">
        <v>46</v>
      </c>
      <c r="J11" s="1994"/>
      <c r="K11" s="1871" t="s">
        <v>46</v>
      </c>
      <c r="L11" s="1871"/>
      <c r="M11" s="219"/>
    </row>
    <row r="12" spans="1:16">
      <c r="A12" s="1947"/>
      <c r="B12" s="1889"/>
      <c r="C12" s="1891"/>
      <c r="D12" s="218"/>
      <c r="E12" s="1893"/>
      <c r="F12" s="1837"/>
      <c r="G12" s="34" t="s">
        <v>47</v>
      </c>
      <c r="H12" s="410" t="s">
        <v>48</v>
      </c>
      <c r="I12" s="34" t="s">
        <v>47</v>
      </c>
      <c r="J12" s="411" t="s">
        <v>48</v>
      </c>
      <c r="K12" s="412" t="s">
        <v>47</v>
      </c>
      <c r="L12" s="35" t="s">
        <v>48</v>
      </c>
    </row>
    <row r="13" spans="1:16" ht="15.75">
      <c r="A13" s="296"/>
      <c r="B13" s="356"/>
      <c r="C13" s="357"/>
      <c r="D13" s="357"/>
      <c r="E13" s="358"/>
      <c r="F13" s="357"/>
      <c r="G13" s="359"/>
      <c r="H13" s="413"/>
      <c r="I13" s="414"/>
      <c r="J13" s="415"/>
      <c r="K13" s="416"/>
      <c r="L13" s="357"/>
    </row>
    <row r="14" spans="1:16" ht="38.25">
      <c r="A14" s="266">
        <v>1</v>
      </c>
      <c r="B14" s="417" t="s">
        <v>338</v>
      </c>
      <c r="C14" s="418" t="s">
        <v>339</v>
      </c>
      <c r="D14" s="419">
        <v>31.9</v>
      </c>
      <c r="E14" s="420" t="s">
        <v>192</v>
      </c>
      <c r="F14" s="421">
        <v>500</v>
      </c>
      <c r="G14" s="422">
        <v>31.9</v>
      </c>
      <c r="H14" s="423">
        <f>G14</f>
        <v>31.9</v>
      </c>
      <c r="I14" s="424">
        <v>32</v>
      </c>
      <c r="J14" s="425">
        <f>I14*0.75</f>
        <v>24</v>
      </c>
      <c r="K14" s="426">
        <v>100</v>
      </c>
      <c r="L14" s="266">
        <f>K14</f>
        <v>100</v>
      </c>
      <c r="M14" s="420" t="s">
        <v>340</v>
      </c>
      <c r="N14" s="420" t="s">
        <v>136</v>
      </c>
    </row>
    <row r="15" spans="1:16" ht="38.25">
      <c r="A15" s="266">
        <v>2</v>
      </c>
      <c r="B15" s="420" t="s">
        <v>341</v>
      </c>
      <c r="C15" s="418" t="s">
        <v>339</v>
      </c>
      <c r="D15" s="419">
        <v>76.5</v>
      </c>
      <c r="E15" s="420" t="s">
        <v>192</v>
      </c>
      <c r="F15" s="421">
        <v>500</v>
      </c>
      <c r="G15" s="422">
        <v>76.5</v>
      </c>
      <c r="H15" s="423">
        <f>G15</f>
        <v>76.5</v>
      </c>
      <c r="I15" s="424">
        <v>51</v>
      </c>
      <c r="J15" s="425">
        <f>I15*0.75</f>
        <v>38.25</v>
      </c>
      <c r="K15" s="426">
        <v>155</v>
      </c>
      <c r="L15" s="266">
        <f>K15</f>
        <v>155</v>
      </c>
      <c r="M15" s="420" t="s">
        <v>340</v>
      </c>
      <c r="N15" s="420" t="s">
        <v>147</v>
      </c>
    </row>
    <row r="16" spans="1:16" ht="38.25">
      <c r="A16" s="266">
        <v>3</v>
      </c>
      <c r="B16" s="420" t="s">
        <v>342</v>
      </c>
      <c r="C16" s="418" t="s">
        <v>339</v>
      </c>
      <c r="D16" s="419">
        <v>117</v>
      </c>
      <c r="E16" s="420" t="s">
        <v>192</v>
      </c>
      <c r="F16" s="421">
        <v>500</v>
      </c>
      <c r="G16" s="422">
        <v>117</v>
      </c>
      <c r="H16" s="423">
        <f>G16</f>
        <v>117</v>
      </c>
      <c r="I16" s="424">
        <v>99.5</v>
      </c>
      <c r="J16" s="425">
        <f>I16*0.75</f>
        <v>74.625</v>
      </c>
      <c r="K16" s="426">
        <v>225</v>
      </c>
      <c r="L16" s="266">
        <f>K16</f>
        <v>225</v>
      </c>
      <c r="M16" s="420" t="s">
        <v>340</v>
      </c>
      <c r="N16" s="420" t="s">
        <v>150</v>
      </c>
    </row>
    <row r="17" spans="1:14" ht="26.25">
      <c r="A17" s="266">
        <v>4</v>
      </c>
      <c r="B17" s="420" t="s">
        <v>343</v>
      </c>
      <c r="C17" s="418" t="s">
        <v>344</v>
      </c>
      <c r="D17" s="419">
        <v>320</v>
      </c>
      <c r="E17" s="420" t="s">
        <v>345</v>
      </c>
      <c r="F17" s="421">
        <v>300</v>
      </c>
      <c r="G17" s="422">
        <v>275</v>
      </c>
      <c r="H17" s="423">
        <v>320</v>
      </c>
      <c r="I17" s="427">
        <v>354</v>
      </c>
      <c r="J17" s="425">
        <f>I17*0.675</f>
        <v>238.95000000000002</v>
      </c>
      <c r="K17" s="426">
        <v>406</v>
      </c>
      <c r="L17" s="266">
        <f>K17</f>
        <v>406</v>
      </c>
      <c r="M17" s="420" t="s">
        <v>346</v>
      </c>
      <c r="N17" s="420" t="s">
        <v>136</v>
      </c>
    </row>
    <row r="18" spans="1:14" ht="13.5" thickBot="1">
      <c r="A18" s="296"/>
      <c r="B18" s="358"/>
      <c r="C18" s="357"/>
      <c r="D18" s="357"/>
      <c r="E18" s="296"/>
      <c r="F18" s="296"/>
      <c r="G18" s="368"/>
      <c r="H18" s="428"/>
      <c r="I18" s="50"/>
      <c r="J18" s="429"/>
      <c r="K18" s="430"/>
      <c r="L18" s="370"/>
      <c r="M18" s="87"/>
      <c r="N18" s="89"/>
    </row>
    <row r="19" spans="1:14" s="7" customFormat="1" ht="13.5" thickBot="1">
      <c r="A19" s="90" t="s">
        <v>58</v>
      </c>
      <c r="B19" s="91"/>
      <c r="C19" s="373">
        <f>SUMPRODUCT(C13:C18, $F$13:$F$18)</f>
        <v>0</v>
      </c>
      <c r="D19" s="371"/>
      <c r="E19" s="93"/>
      <c r="F19" s="372">
        <f>SUM(F14:F17)</f>
        <v>1800</v>
      </c>
      <c r="G19" s="373">
        <f t="shared" ref="G19:L19" si="0">SUMPRODUCT(G13:G18, $F$13:$F$18)</f>
        <v>195200</v>
      </c>
      <c r="H19" s="431">
        <f t="shared" si="0"/>
        <v>208700</v>
      </c>
      <c r="I19" s="373">
        <f t="shared" si="0"/>
        <v>197450</v>
      </c>
      <c r="J19" s="373">
        <f t="shared" si="0"/>
        <v>140122.5</v>
      </c>
      <c r="K19" s="432">
        <f t="shared" si="0"/>
        <v>361800</v>
      </c>
      <c r="L19" s="373">
        <f t="shared" si="0"/>
        <v>361800</v>
      </c>
      <c r="M19" s="373"/>
      <c r="N19" s="374"/>
    </row>
    <row r="20" spans="1:14">
      <c r="A20" s="1860" t="s">
        <v>59</v>
      </c>
      <c r="B20" s="1861"/>
      <c r="C20" s="97"/>
      <c r="D20" s="375"/>
      <c r="E20" s="97"/>
      <c r="F20" s="376"/>
      <c r="G20" s="377"/>
      <c r="H20" s="378"/>
      <c r="I20" s="433">
        <v>2896.55</v>
      </c>
      <c r="J20" s="377"/>
      <c r="K20" s="379">
        <v>3752.1</v>
      </c>
      <c r="L20" s="379">
        <v>3752.1</v>
      </c>
    </row>
    <row r="21" spans="1:14">
      <c r="A21" s="102" t="s">
        <v>60</v>
      </c>
      <c r="B21" s="103"/>
      <c r="C21" s="97"/>
      <c r="D21" s="375"/>
      <c r="E21" s="97"/>
      <c r="F21" s="376"/>
      <c r="G21" s="380"/>
      <c r="H21" s="381" t="s">
        <v>61</v>
      </c>
      <c r="I21" s="382"/>
      <c r="J21" s="380" t="s">
        <v>61</v>
      </c>
      <c r="K21" s="382"/>
      <c r="L21" s="380" t="s">
        <v>61</v>
      </c>
    </row>
    <row r="22" spans="1:14">
      <c r="A22" s="1862" t="s">
        <v>62</v>
      </c>
      <c r="B22" s="1863"/>
      <c r="C22" s="97"/>
      <c r="D22" s="375"/>
      <c r="E22" s="97"/>
      <c r="F22" s="376"/>
      <c r="G22" s="380"/>
      <c r="H22" s="381"/>
      <c r="I22" s="382"/>
      <c r="J22" s="380"/>
      <c r="K22" s="382"/>
      <c r="L22" s="380"/>
    </row>
    <row r="23" spans="1:14" ht="12.95" customHeight="1">
      <c r="A23" s="107" t="s">
        <v>63</v>
      </c>
      <c r="B23" s="108"/>
      <c r="C23" s="108"/>
      <c r="D23" s="383"/>
      <c r="E23" s="108"/>
      <c r="F23" s="109"/>
      <c r="G23" s="110">
        <v>0</v>
      </c>
      <c r="H23" s="110">
        <v>0</v>
      </c>
      <c r="I23" s="110">
        <v>0.125</v>
      </c>
      <c r="J23" s="110">
        <v>0.125</v>
      </c>
      <c r="K23" s="110">
        <v>0.125</v>
      </c>
      <c r="L23" s="110">
        <v>0.125</v>
      </c>
    </row>
    <row r="24" spans="1:14" ht="12.95" customHeight="1">
      <c r="A24" s="107"/>
      <c r="B24" s="108" t="s">
        <v>64</v>
      </c>
      <c r="C24" s="111"/>
      <c r="D24" s="383"/>
      <c r="E24" s="111"/>
      <c r="F24" s="112"/>
      <c r="G24" s="384">
        <f>(G19+G20+G21+G22)*G23</f>
        <v>0</v>
      </c>
      <c r="H24" s="385">
        <f>(H19+H20+H22)*H23</f>
        <v>0</v>
      </c>
      <c r="I24" s="386">
        <f>(I19+I20+I21+I22)*I23</f>
        <v>25043.318749999999</v>
      </c>
      <c r="J24" s="384">
        <f>(J19+J20+J22)*J23</f>
        <v>17515.3125</v>
      </c>
      <c r="K24" s="386">
        <f>(K19+K20+K21+K22)*K23</f>
        <v>45694.012499999997</v>
      </c>
      <c r="L24" s="384">
        <f>(L19+L20+L22)*L23</f>
        <v>45694.012499999997</v>
      </c>
    </row>
    <row r="25" spans="1:14">
      <c r="A25" s="1862" t="s">
        <v>65</v>
      </c>
      <c r="B25" s="1863"/>
      <c r="C25" s="111"/>
      <c r="D25" s="383"/>
      <c r="E25" s="116"/>
      <c r="F25" s="117"/>
      <c r="G25" s="387">
        <v>0.125</v>
      </c>
      <c r="H25" s="387">
        <v>0.125</v>
      </c>
      <c r="I25" s="387">
        <v>0.125</v>
      </c>
      <c r="J25" s="387">
        <v>0.125</v>
      </c>
      <c r="K25" s="387">
        <v>0.02</v>
      </c>
      <c r="L25" s="387">
        <v>0.125</v>
      </c>
    </row>
    <row r="26" spans="1:14" ht="12.95" customHeight="1">
      <c r="A26" s="102"/>
      <c r="B26" s="103" t="s">
        <v>66</v>
      </c>
      <c r="C26" s="111"/>
      <c r="D26" s="383"/>
      <c r="E26" s="116"/>
      <c r="F26" s="117"/>
      <c r="G26" s="384">
        <f>(G24+G20+G21+G22+G19)*G25</f>
        <v>24400</v>
      </c>
      <c r="H26" s="385">
        <f>(H24+H20+H22+H19)*H25</f>
        <v>26087.5</v>
      </c>
      <c r="I26" s="386">
        <f>(I24+I20+I21+I22+I19)*I25</f>
        <v>28173.733593749999</v>
      </c>
      <c r="J26" s="384">
        <f>(J24+J20+J22+J19)*J25</f>
        <v>19704.7265625</v>
      </c>
      <c r="K26" s="386">
        <f>(K24+K20+K21+K22+K19)*K25</f>
        <v>8224.9222499999996</v>
      </c>
      <c r="L26" s="384">
        <f>(L24+L20+L22+L19)*L25</f>
        <v>51405.764062499999</v>
      </c>
    </row>
    <row r="27" spans="1:14" ht="12.95" customHeight="1">
      <c r="A27" s="102" t="s">
        <v>67</v>
      </c>
      <c r="B27" s="103"/>
      <c r="C27" s="111"/>
      <c r="D27" s="383"/>
      <c r="E27" s="116"/>
      <c r="F27" s="117"/>
      <c r="G27" s="387"/>
      <c r="H27" s="387"/>
      <c r="I27" s="387"/>
      <c r="J27" s="387"/>
      <c r="K27" s="387"/>
      <c r="L27" s="387"/>
    </row>
    <row r="28" spans="1:14" ht="12.95" customHeight="1">
      <c r="A28" s="102"/>
      <c r="B28" s="103" t="s">
        <v>68</v>
      </c>
      <c r="C28" s="111"/>
      <c r="D28" s="383"/>
      <c r="E28" s="116"/>
      <c r="F28" s="117"/>
      <c r="G28" s="384">
        <f>(G24+G20+G21+G22+G19)*G27</f>
        <v>0</v>
      </c>
      <c r="H28" s="385">
        <f>(H24+H20+H22+H19)*H27</f>
        <v>0</v>
      </c>
      <c r="I28" s="386">
        <f>(I24+I20+I21+I22+I19)*I27</f>
        <v>0</v>
      </c>
      <c r="J28" s="384">
        <f>(J24+J20+J22+J19)*J27</f>
        <v>0</v>
      </c>
      <c r="K28" s="386">
        <f>(K24+K20+K21+K22+K19)*K27</f>
        <v>0</v>
      </c>
      <c r="L28" s="384">
        <f>(L24+L20+L22+L19)*L27</f>
        <v>0</v>
      </c>
    </row>
    <row r="29" spans="1:14" ht="12.95" customHeight="1">
      <c r="A29" s="1862" t="s">
        <v>69</v>
      </c>
      <c r="B29" s="1863"/>
      <c r="C29" s="111"/>
      <c r="D29" s="383"/>
      <c r="E29" s="120"/>
      <c r="F29" s="117"/>
      <c r="G29" s="387"/>
      <c r="H29" s="388"/>
      <c r="I29" s="389"/>
      <c r="J29" s="387"/>
      <c r="K29" s="389"/>
      <c r="L29" s="387"/>
    </row>
    <row r="30" spans="1:14" ht="12.95" customHeight="1">
      <c r="A30" s="122"/>
      <c r="B30" s="123" t="s">
        <v>70</v>
      </c>
      <c r="C30" s="124"/>
      <c r="D30" s="390"/>
      <c r="E30" s="125"/>
      <c r="F30" s="126"/>
      <c r="G30" s="384">
        <f t="shared" ref="G30:L30" si="1">G19*G29</f>
        <v>0</v>
      </c>
      <c r="H30" s="385">
        <f t="shared" si="1"/>
        <v>0</v>
      </c>
      <c r="I30" s="386">
        <f t="shared" si="1"/>
        <v>0</v>
      </c>
      <c r="J30" s="384">
        <f t="shared" si="1"/>
        <v>0</v>
      </c>
      <c r="K30" s="386">
        <f t="shared" si="1"/>
        <v>0</v>
      </c>
      <c r="L30" s="384">
        <f t="shared" si="1"/>
        <v>0</v>
      </c>
    </row>
    <row r="31" spans="1:14" ht="13.5" thickBot="1">
      <c r="A31" s="1864"/>
      <c r="B31" s="1865"/>
      <c r="C31" s="124"/>
      <c r="D31" s="390"/>
      <c r="E31" s="124"/>
      <c r="F31" s="391"/>
      <c r="G31" s="392"/>
      <c r="H31" s="393"/>
      <c r="I31" s="394"/>
      <c r="J31" s="392"/>
      <c r="K31" s="394"/>
      <c r="L31" s="392"/>
    </row>
    <row r="32" spans="1:14" ht="13.5" thickBot="1">
      <c r="A32" s="131" t="s">
        <v>71</v>
      </c>
      <c r="B32" s="132"/>
      <c r="C32" s="132"/>
      <c r="D32" s="395"/>
      <c r="E32" s="132"/>
      <c r="F32" s="133"/>
      <c r="G32" s="134">
        <f>SUM(G19:G31)</f>
        <v>219600.125</v>
      </c>
      <c r="H32" s="135">
        <f>SUM(H19:H31)</f>
        <v>234787.625</v>
      </c>
      <c r="I32" s="134">
        <f>SUM(I19,I20,I22,I24,I26)</f>
        <v>253563.60234374998</v>
      </c>
      <c r="J32" s="135">
        <f>SUM(J19:J31)</f>
        <v>177342.7890625</v>
      </c>
      <c r="K32" s="134">
        <f>SUM(K19,K20,K22,K24,K26)</f>
        <v>419471.03474999999</v>
      </c>
      <c r="L32" s="135">
        <f>SUM(L19:L31)</f>
        <v>462652.12656249997</v>
      </c>
    </row>
    <row r="33" spans="1:12" s="142" customFormat="1" ht="13.5" thickBot="1">
      <c r="A33" s="137"/>
      <c r="B33" s="138"/>
      <c r="C33" s="138"/>
      <c r="D33" s="396"/>
      <c r="E33" s="138"/>
      <c r="F33" s="138"/>
      <c r="G33" s="139"/>
      <c r="H33" s="140"/>
      <c r="I33" s="139"/>
      <c r="J33" s="140"/>
      <c r="K33" s="139"/>
      <c r="L33" s="140"/>
    </row>
    <row r="34" spans="1:12" s="7" customFormat="1" ht="13.5" thickBot="1">
      <c r="A34" s="131" t="s">
        <v>72</v>
      </c>
      <c r="B34" s="132"/>
      <c r="C34" s="132"/>
      <c r="D34" s="395"/>
      <c r="E34" s="132"/>
      <c r="F34" s="133"/>
      <c r="G34" s="135">
        <f>G19+G28+G20+G22+G21</f>
        <v>195200</v>
      </c>
      <c r="H34" s="143">
        <f>H19+H28</f>
        <v>208700</v>
      </c>
      <c r="I34" s="135">
        <f>I19+I28+I20</f>
        <v>200346.55</v>
      </c>
      <c r="J34" s="135">
        <f>J19+J28+J20</f>
        <v>140122.5</v>
      </c>
      <c r="K34" s="135">
        <f>K19+K28+K20</f>
        <v>365552.1</v>
      </c>
      <c r="L34" s="135">
        <f>L19+L28+L20</f>
        <v>365552.1</v>
      </c>
    </row>
    <row r="35" spans="1:12" ht="13.5" thickBot="1">
      <c r="A35" s="145"/>
      <c r="B35" s="146"/>
      <c r="C35" s="147"/>
      <c r="D35" s="146"/>
      <c r="E35" s="147"/>
      <c r="F35" s="397"/>
      <c r="G35" s="149"/>
      <c r="H35" s="151"/>
      <c r="I35" s="149"/>
      <c r="J35" s="150"/>
      <c r="K35" s="152"/>
      <c r="L35" s="151"/>
    </row>
    <row r="36" spans="1:12">
      <c r="A36" s="155" t="s">
        <v>73</v>
      </c>
      <c r="B36" s="156" t="s">
        <v>74</v>
      </c>
      <c r="C36" s="157"/>
      <c r="D36" s="398"/>
      <c r="E36" s="157"/>
      <c r="F36" s="399"/>
      <c r="G36" s="159" t="s">
        <v>328</v>
      </c>
      <c r="H36" s="172" t="s">
        <v>328</v>
      </c>
      <c r="I36" s="434" t="s">
        <v>347</v>
      </c>
      <c r="J36" s="435" t="s">
        <v>347</v>
      </c>
      <c r="K36" s="171" t="s">
        <v>348</v>
      </c>
      <c r="L36" s="159" t="s">
        <v>348</v>
      </c>
    </row>
    <row r="37" spans="1:12" ht="13.5" thickBot="1">
      <c r="A37" s="164" t="s">
        <v>79</v>
      </c>
      <c r="B37" s="165" t="s">
        <v>80</v>
      </c>
      <c r="C37" s="166"/>
      <c r="D37" s="400"/>
      <c r="E37" s="166"/>
      <c r="F37" s="401"/>
      <c r="G37" s="159" t="s">
        <v>165</v>
      </c>
      <c r="H37" s="170" t="s">
        <v>82</v>
      </c>
      <c r="I37" s="169" t="s">
        <v>329</v>
      </c>
      <c r="J37" s="436" t="s">
        <v>82</v>
      </c>
      <c r="K37" s="437" t="s">
        <v>329</v>
      </c>
      <c r="L37" s="170" t="s">
        <v>82</v>
      </c>
    </row>
    <row r="38" spans="1:12" ht="63.75">
      <c r="A38" s="173" t="s">
        <v>85</v>
      </c>
      <c r="B38" s="174" t="s">
        <v>86</v>
      </c>
      <c r="C38" s="175"/>
      <c r="D38" s="174"/>
      <c r="E38" s="175"/>
      <c r="F38" s="402"/>
      <c r="G38" s="177" t="s">
        <v>281</v>
      </c>
      <c r="H38" s="179" t="s">
        <v>281</v>
      </c>
      <c r="I38" s="179" t="s">
        <v>349</v>
      </c>
      <c r="J38" s="438" t="s">
        <v>349</v>
      </c>
      <c r="K38" s="183" t="s">
        <v>350</v>
      </c>
      <c r="L38" s="179" t="s">
        <v>330</v>
      </c>
    </row>
    <row r="39" spans="1:12">
      <c r="A39" s="181" t="s">
        <v>90</v>
      </c>
      <c r="B39" s="175" t="s">
        <v>91</v>
      </c>
      <c r="C39" s="175"/>
      <c r="D39" s="174"/>
      <c r="E39" s="175"/>
      <c r="F39" s="402"/>
      <c r="G39" s="177" t="s">
        <v>92</v>
      </c>
      <c r="H39" s="439" t="s">
        <v>331</v>
      </c>
      <c r="I39" s="182" t="s">
        <v>351</v>
      </c>
      <c r="J39" s="440" t="s">
        <v>351</v>
      </c>
      <c r="K39" s="441" t="s">
        <v>331</v>
      </c>
      <c r="L39" s="182" t="s">
        <v>331</v>
      </c>
    </row>
    <row r="40" spans="1:12" ht="39.950000000000003" customHeight="1">
      <c r="A40" s="181" t="s">
        <v>93</v>
      </c>
      <c r="B40" s="174" t="s">
        <v>94</v>
      </c>
      <c r="C40" s="175"/>
      <c r="D40" s="174"/>
      <c r="E40" s="175"/>
      <c r="F40" s="402"/>
      <c r="G40" s="184"/>
      <c r="H40" s="186"/>
      <c r="I40" s="184" t="s">
        <v>332</v>
      </c>
      <c r="J40" s="442" t="s">
        <v>332</v>
      </c>
      <c r="K40" s="443" t="s">
        <v>332</v>
      </c>
      <c r="L40" s="186" t="s">
        <v>332</v>
      </c>
    </row>
    <row r="41" spans="1:12" ht="89.25">
      <c r="A41" s="181" t="s">
        <v>95</v>
      </c>
      <c r="B41" s="174" t="s">
        <v>96</v>
      </c>
      <c r="C41" s="175"/>
      <c r="D41" s="174"/>
      <c r="E41" s="175"/>
      <c r="F41" s="402"/>
      <c r="G41" s="177" t="s">
        <v>97</v>
      </c>
      <c r="H41" s="179" t="s">
        <v>97</v>
      </c>
      <c r="I41" s="177" t="s">
        <v>97</v>
      </c>
      <c r="J41" s="438" t="s">
        <v>98</v>
      </c>
      <c r="K41" s="178" t="s">
        <v>97</v>
      </c>
      <c r="L41" s="179" t="s">
        <v>98</v>
      </c>
    </row>
    <row r="42" spans="1:12" ht="51.75" thickBot="1">
      <c r="A42" s="189" t="s">
        <v>99</v>
      </c>
      <c r="B42" s="190" t="s">
        <v>100</v>
      </c>
      <c r="C42" s="191"/>
      <c r="D42" s="190"/>
      <c r="E42" s="191"/>
      <c r="F42" s="403"/>
      <c r="G42" s="193" t="s">
        <v>101</v>
      </c>
      <c r="H42" s="404" t="s">
        <v>101</v>
      </c>
      <c r="I42" s="193" t="s">
        <v>101</v>
      </c>
      <c r="J42" s="444" t="s">
        <v>101</v>
      </c>
      <c r="K42" s="445" t="s">
        <v>101</v>
      </c>
      <c r="L42" s="404" t="s">
        <v>101</v>
      </c>
    </row>
    <row r="43" spans="1:12" ht="30" customHeight="1">
      <c r="A43" s="1866" t="s">
        <v>102</v>
      </c>
      <c r="B43" s="1867"/>
      <c r="C43" s="1971"/>
      <c r="D43" s="405"/>
      <c r="E43" s="1858" t="s">
        <v>103</v>
      </c>
      <c r="F43" s="1859"/>
      <c r="G43" s="1859"/>
      <c r="H43" s="1859"/>
      <c r="I43" s="1966"/>
      <c r="J43" s="1856" t="s">
        <v>104</v>
      </c>
      <c r="K43" s="1857"/>
      <c r="L43" s="1967"/>
    </row>
    <row r="44" spans="1:12" ht="13.5" thickBot="1">
      <c r="A44" s="1866"/>
      <c r="B44" s="1867"/>
      <c r="C44" s="1971"/>
      <c r="D44" s="405"/>
      <c r="E44" s="1858"/>
      <c r="F44" s="1859"/>
      <c r="G44" s="1859"/>
      <c r="H44" s="1859"/>
      <c r="I44" s="1966"/>
      <c r="J44" s="1968"/>
      <c r="K44" s="1969"/>
      <c r="L44" s="1970"/>
    </row>
    <row r="45" spans="1:12">
      <c r="A45" s="149"/>
      <c r="B45" s="197"/>
      <c r="C45" s="152"/>
      <c r="D45" s="197"/>
      <c r="E45" s="152"/>
      <c r="F45" s="406"/>
      <c r="G45" s="152"/>
      <c r="H45" s="152"/>
      <c r="I45" s="152"/>
      <c r="J45" s="152"/>
      <c r="K45" s="152"/>
      <c r="L45" s="152"/>
    </row>
    <row r="46" spans="1:12">
      <c r="A46" s="200"/>
      <c r="B46" s="201"/>
      <c r="C46" s="202"/>
      <c r="D46" s="201"/>
      <c r="E46" s="202"/>
      <c r="F46" s="407"/>
      <c r="G46" s="202"/>
      <c r="H46" s="202"/>
      <c r="I46" s="202"/>
      <c r="J46" s="202"/>
      <c r="K46" s="202"/>
      <c r="L46" s="202"/>
    </row>
    <row r="47" spans="1:12">
      <c r="A47" s="200"/>
      <c r="B47" s="27" t="s">
        <v>105</v>
      </c>
      <c r="C47" s="28"/>
      <c r="D47" s="27"/>
      <c r="E47" s="28"/>
      <c r="F47" s="28" t="s">
        <v>106</v>
      </c>
      <c r="G47" s="202"/>
      <c r="H47" s="28"/>
      <c r="I47" s="28"/>
      <c r="J47" s="28"/>
      <c r="K47" s="28" t="s">
        <v>107</v>
      </c>
      <c r="L47" s="202"/>
    </row>
    <row r="48" spans="1:12" ht="13.5" thickBot="1">
      <c r="A48" s="205"/>
      <c r="B48" s="206"/>
      <c r="C48" s="207"/>
      <c r="D48" s="206"/>
      <c r="E48" s="207"/>
      <c r="F48" s="207"/>
      <c r="G48" s="207"/>
      <c r="H48" s="207"/>
      <c r="I48" s="207"/>
      <c r="J48" s="207"/>
      <c r="K48" s="207"/>
      <c r="L48" s="207"/>
    </row>
  </sheetData>
  <mergeCells count="29">
    <mergeCell ref="A29:B29"/>
    <mergeCell ref="A31:B31"/>
    <mergeCell ref="A43:C44"/>
    <mergeCell ref="E43:I44"/>
    <mergeCell ref="J43:L44"/>
    <mergeCell ref="A25:B25"/>
    <mergeCell ref="I7:J7"/>
    <mergeCell ref="K7:L7"/>
    <mergeCell ref="G8:H9"/>
    <mergeCell ref="I8:J9"/>
    <mergeCell ref="K8:L9"/>
    <mergeCell ref="G10:H10"/>
    <mergeCell ref="I10:J10"/>
    <mergeCell ref="K10:L10"/>
    <mergeCell ref="G11:H11"/>
    <mergeCell ref="I11:J11"/>
    <mergeCell ref="K11:L11"/>
    <mergeCell ref="A20:B20"/>
    <mergeCell ref="A22:B22"/>
    <mergeCell ref="A2:L2"/>
    <mergeCell ref="A3:L3"/>
    <mergeCell ref="F4:F5"/>
    <mergeCell ref="G4:H5"/>
    <mergeCell ref="A7:A12"/>
    <mergeCell ref="B7:B12"/>
    <mergeCell ref="C7:C12"/>
    <mergeCell ref="E7:E12"/>
    <mergeCell ref="F7:F12"/>
    <mergeCell ref="G7:H7"/>
  </mergeCells>
  <pageMargins left="0.25" right="0.25" top="0.75" bottom="0.75" header="0.3" footer="0.3"/>
  <pageSetup scale="6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topLeftCell="A19" zoomScaleNormal="100" workbookViewId="0">
      <selection activeCell="H64" sqref="H64"/>
    </sheetView>
  </sheetViews>
  <sheetFormatPr defaultRowHeight="12.75"/>
  <cols>
    <col min="1" max="1" width="6.140625" style="9" customWidth="1"/>
    <col min="2" max="2" width="48.85546875" style="209" customWidth="1"/>
    <col min="3" max="3" width="24.85546875" style="9" customWidth="1"/>
    <col min="4" max="4" width="9.85546875" style="209" customWidth="1"/>
    <col min="5" max="5" width="6.140625" style="9" customWidth="1"/>
    <col min="6" max="6" width="8.85546875" style="9" customWidth="1"/>
    <col min="7" max="7" width="15.85546875" style="9" customWidth="1"/>
    <col min="8" max="8" width="14.42578125" style="9" customWidth="1"/>
    <col min="9" max="9" width="20.5703125" style="9" customWidth="1"/>
    <col min="10" max="10" width="11.85546875" style="9" customWidth="1"/>
    <col min="11" max="11" width="17.5703125" style="9" customWidth="1"/>
    <col min="12" max="12" width="11.7109375" style="9" customWidth="1"/>
    <col min="13" max="13" width="17.5703125" style="9" customWidth="1"/>
    <col min="14" max="14" width="18.42578125" style="9" customWidth="1"/>
    <col min="15" max="15" width="12.42578125" style="9" bestFit="1" customWidth="1"/>
    <col min="16" max="16" width="11.140625" style="9" bestFit="1" customWidth="1"/>
    <col min="17" max="17" width="12.42578125" style="9" hidden="1" customWidth="1"/>
    <col min="18" max="18" width="14.28515625" style="9" hidden="1" customWidth="1"/>
    <col min="19" max="255" width="9.140625" style="9"/>
    <col min="256" max="256" width="4" style="9" customWidth="1"/>
    <col min="257" max="257" width="30.7109375" style="9" customWidth="1"/>
    <col min="258" max="259" width="10" style="9" customWidth="1"/>
    <col min="260" max="260" width="9.85546875" style="9" customWidth="1"/>
    <col min="261" max="261" width="12.42578125" style="9" customWidth="1"/>
    <col min="262" max="267" width="12.7109375" style="9" customWidth="1"/>
    <col min="268" max="268" width="13" style="9" customWidth="1"/>
    <col min="269" max="270" width="12.7109375" style="9" customWidth="1"/>
    <col min="271" max="271" width="9.140625" style="9"/>
    <col min="272" max="272" width="11.140625" style="9" bestFit="1" customWidth="1"/>
    <col min="273" max="511" width="9.140625" style="9"/>
    <col min="512" max="512" width="4" style="9" customWidth="1"/>
    <col min="513" max="513" width="30.7109375" style="9" customWidth="1"/>
    <col min="514" max="515" width="10" style="9" customWidth="1"/>
    <col min="516" max="516" width="9.85546875" style="9" customWidth="1"/>
    <col min="517" max="517" width="12.42578125" style="9" customWidth="1"/>
    <col min="518" max="523" width="12.7109375" style="9" customWidth="1"/>
    <col min="524" max="524" width="13" style="9" customWidth="1"/>
    <col min="525" max="526" width="12.7109375" style="9" customWidth="1"/>
    <col min="527" max="527" width="9.140625" style="9"/>
    <col min="528" max="528" width="11.140625" style="9" bestFit="1" customWidth="1"/>
    <col min="529" max="767" width="9.140625" style="9"/>
    <col min="768" max="768" width="4" style="9" customWidth="1"/>
    <col min="769" max="769" width="30.7109375" style="9" customWidth="1"/>
    <col min="770" max="771" width="10" style="9" customWidth="1"/>
    <col min="772" max="772" width="9.85546875" style="9" customWidth="1"/>
    <col min="773" max="773" width="12.42578125" style="9" customWidth="1"/>
    <col min="774" max="779" width="12.7109375" style="9" customWidth="1"/>
    <col min="780" max="780" width="13" style="9" customWidth="1"/>
    <col min="781" max="782" width="12.7109375" style="9" customWidth="1"/>
    <col min="783" max="783" width="9.140625" style="9"/>
    <col min="784" max="784" width="11.140625" style="9" bestFit="1" customWidth="1"/>
    <col min="785" max="1023" width="9.140625" style="9"/>
    <col min="1024" max="1024" width="4" style="9" customWidth="1"/>
    <col min="1025" max="1025" width="30.7109375" style="9" customWidth="1"/>
    <col min="1026" max="1027" width="10" style="9" customWidth="1"/>
    <col min="1028" max="1028" width="9.85546875" style="9" customWidth="1"/>
    <col min="1029" max="1029" width="12.42578125" style="9" customWidth="1"/>
    <col min="1030" max="1035" width="12.7109375" style="9" customWidth="1"/>
    <col min="1036" max="1036" width="13" style="9" customWidth="1"/>
    <col min="1037" max="1038" width="12.7109375" style="9" customWidth="1"/>
    <col min="1039" max="1039" width="9.140625" style="9"/>
    <col min="1040" max="1040" width="11.140625" style="9" bestFit="1" customWidth="1"/>
    <col min="1041" max="1279" width="9.140625" style="9"/>
    <col min="1280" max="1280" width="4" style="9" customWidth="1"/>
    <col min="1281" max="1281" width="30.7109375" style="9" customWidth="1"/>
    <col min="1282" max="1283" width="10" style="9" customWidth="1"/>
    <col min="1284" max="1284" width="9.85546875" style="9" customWidth="1"/>
    <col min="1285" max="1285" width="12.42578125" style="9" customWidth="1"/>
    <col min="1286" max="1291" width="12.7109375" style="9" customWidth="1"/>
    <col min="1292" max="1292" width="13" style="9" customWidth="1"/>
    <col min="1293" max="1294" width="12.7109375" style="9" customWidth="1"/>
    <col min="1295" max="1295" width="9.140625" style="9"/>
    <col min="1296" max="1296" width="11.140625" style="9" bestFit="1" customWidth="1"/>
    <col min="1297" max="1535" width="9.140625" style="9"/>
    <col min="1536" max="1536" width="4" style="9" customWidth="1"/>
    <col min="1537" max="1537" width="30.7109375" style="9" customWidth="1"/>
    <col min="1538" max="1539" width="10" style="9" customWidth="1"/>
    <col min="1540" max="1540" width="9.85546875" style="9" customWidth="1"/>
    <col min="1541" max="1541" width="12.42578125" style="9" customWidth="1"/>
    <col min="1542" max="1547" width="12.7109375" style="9" customWidth="1"/>
    <col min="1548" max="1548" width="13" style="9" customWidth="1"/>
    <col min="1549" max="1550" width="12.7109375" style="9" customWidth="1"/>
    <col min="1551" max="1551" width="9.140625" style="9"/>
    <col min="1552" max="1552" width="11.140625" style="9" bestFit="1" customWidth="1"/>
    <col min="1553" max="1791" width="9.140625" style="9"/>
    <col min="1792" max="1792" width="4" style="9" customWidth="1"/>
    <col min="1793" max="1793" width="30.7109375" style="9" customWidth="1"/>
    <col min="1794" max="1795" width="10" style="9" customWidth="1"/>
    <col min="1796" max="1796" width="9.85546875" style="9" customWidth="1"/>
    <col min="1797" max="1797" width="12.42578125" style="9" customWidth="1"/>
    <col min="1798" max="1803" width="12.7109375" style="9" customWidth="1"/>
    <col min="1804" max="1804" width="13" style="9" customWidth="1"/>
    <col min="1805" max="1806" width="12.7109375" style="9" customWidth="1"/>
    <col min="1807" max="1807" width="9.140625" style="9"/>
    <col min="1808" max="1808" width="11.140625" style="9" bestFit="1" customWidth="1"/>
    <col min="1809" max="2047" width="9.140625" style="9"/>
    <col min="2048" max="2048" width="4" style="9" customWidth="1"/>
    <col min="2049" max="2049" width="30.7109375" style="9" customWidth="1"/>
    <col min="2050" max="2051" width="10" style="9" customWidth="1"/>
    <col min="2052" max="2052" width="9.85546875" style="9" customWidth="1"/>
    <col min="2053" max="2053" width="12.42578125" style="9" customWidth="1"/>
    <col min="2054" max="2059" width="12.7109375" style="9" customWidth="1"/>
    <col min="2060" max="2060" width="13" style="9" customWidth="1"/>
    <col min="2061" max="2062" width="12.7109375" style="9" customWidth="1"/>
    <col min="2063" max="2063" width="9.140625" style="9"/>
    <col min="2064" max="2064" width="11.140625" style="9" bestFit="1" customWidth="1"/>
    <col min="2065" max="2303" width="9.140625" style="9"/>
    <col min="2304" max="2304" width="4" style="9" customWidth="1"/>
    <col min="2305" max="2305" width="30.7109375" style="9" customWidth="1"/>
    <col min="2306" max="2307" width="10" style="9" customWidth="1"/>
    <col min="2308" max="2308" width="9.85546875" style="9" customWidth="1"/>
    <col min="2309" max="2309" width="12.42578125" style="9" customWidth="1"/>
    <col min="2310" max="2315" width="12.7109375" style="9" customWidth="1"/>
    <col min="2316" max="2316" width="13" style="9" customWidth="1"/>
    <col min="2317" max="2318" width="12.7109375" style="9" customWidth="1"/>
    <col min="2319" max="2319" width="9.140625" style="9"/>
    <col min="2320" max="2320" width="11.140625" style="9" bestFit="1" customWidth="1"/>
    <col min="2321" max="2559" width="9.140625" style="9"/>
    <col min="2560" max="2560" width="4" style="9" customWidth="1"/>
    <col min="2561" max="2561" width="30.7109375" style="9" customWidth="1"/>
    <col min="2562" max="2563" width="10" style="9" customWidth="1"/>
    <col min="2564" max="2564" width="9.85546875" style="9" customWidth="1"/>
    <col min="2565" max="2565" width="12.42578125" style="9" customWidth="1"/>
    <col min="2566" max="2571" width="12.7109375" style="9" customWidth="1"/>
    <col min="2572" max="2572" width="13" style="9" customWidth="1"/>
    <col min="2573" max="2574" width="12.7109375" style="9" customWidth="1"/>
    <col min="2575" max="2575" width="9.140625" style="9"/>
    <col min="2576" max="2576" width="11.140625" style="9" bestFit="1" customWidth="1"/>
    <col min="2577" max="2815" width="9.140625" style="9"/>
    <col min="2816" max="2816" width="4" style="9" customWidth="1"/>
    <col min="2817" max="2817" width="30.7109375" style="9" customWidth="1"/>
    <col min="2818" max="2819" width="10" style="9" customWidth="1"/>
    <col min="2820" max="2820" width="9.85546875" style="9" customWidth="1"/>
    <col min="2821" max="2821" width="12.42578125" style="9" customWidth="1"/>
    <col min="2822" max="2827" width="12.7109375" style="9" customWidth="1"/>
    <col min="2828" max="2828" width="13" style="9" customWidth="1"/>
    <col min="2829" max="2830" width="12.7109375" style="9" customWidth="1"/>
    <col min="2831" max="2831" width="9.140625" style="9"/>
    <col min="2832" max="2832" width="11.140625" style="9" bestFit="1" customWidth="1"/>
    <col min="2833" max="3071" width="9.140625" style="9"/>
    <col min="3072" max="3072" width="4" style="9" customWidth="1"/>
    <col min="3073" max="3073" width="30.7109375" style="9" customWidth="1"/>
    <col min="3074" max="3075" width="10" style="9" customWidth="1"/>
    <col min="3076" max="3076" width="9.85546875" style="9" customWidth="1"/>
    <col min="3077" max="3077" width="12.42578125" style="9" customWidth="1"/>
    <col min="3078" max="3083" width="12.7109375" style="9" customWidth="1"/>
    <col min="3084" max="3084" width="13" style="9" customWidth="1"/>
    <col min="3085" max="3086" width="12.7109375" style="9" customWidth="1"/>
    <col min="3087" max="3087" width="9.140625" style="9"/>
    <col min="3088" max="3088" width="11.140625" style="9" bestFit="1" customWidth="1"/>
    <col min="3089" max="3327" width="9.140625" style="9"/>
    <col min="3328" max="3328" width="4" style="9" customWidth="1"/>
    <col min="3329" max="3329" width="30.7109375" style="9" customWidth="1"/>
    <col min="3330" max="3331" width="10" style="9" customWidth="1"/>
    <col min="3332" max="3332" width="9.85546875" style="9" customWidth="1"/>
    <col min="3333" max="3333" width="12.42578125" style="9" customWidth="1"/>
    <col min="3334" max="3339" width="12.7109375" style="9" customWidth="1"/>
    <col min="3340" max="3340" width="13" style="9" customWidth="1"/>
    <col min="3341" max="3342" width="12.7109375" style="9" customWidth="1"/>
    <col min="3343" max="3343" width="9.140625" style="9"/>
    <col min="3344" max="3344" width="11.140625" style="9" bestFit="1" customWidth="1"/>
    <col min="3345" max="3583" width="9.140625" style="9"/>
    <col min="3584" max="3584" width="4" style="9" customWidth="1"/>
    <col min="3585" max="3585" width="30.7109375" style="9" customWidth="1"/>
    <col min="3586" max="3587" width="10" style="9" customWidth="1"/>
    <col min="3588" max="3588" width="9.85546875" style="9" customWidth="1"/>
    <col min="3589" max="3589" width="12.42578125" style="9" customWidth="1"/>
    <col min="3590" max="3595" width="12.7109375" style="9" customWidth="1"/>
    <col min="3596" max="3596" width="13" style="9" customWidth="1"/>
    <col min="3597" max="3598" width="12.7109375" style="9" customWidth="1"/>
    <col min="3599" max="3599" width="9.140625" style="9"/>
    <col min="3600" max="3600" width="11.140625" style="9" bestFit="1" customWidth="1"/>
    <col min="3601" max="3839" width="9.140625" style="9"/>
    <col min="3840" max="3840" width="4" style="9" customWidth="1"/>
    <col min="3841" max="3841" width="30.7109375" style="9" customWidth="1"/>
    <col min="3842" max="3843" width="10" style="9" customWidth="1"/>
    <col min="3844" max="3844" width="9.85546875" style="9" customWidth="1"/>
    <col min="3845" max="3845" width="12.42578125" style="9" customWidth="1"/>
    <col min="3846" max="3851" width="12.7109375" style="9" customWidth="1"/>
    <col min="3852" max="3852" width="13" style="9" customWidth="1"/>
    <col min="3853" max="3854" width="12.7109375" style="9" customWidth="1"/>
    <col min="3855" max="3855" width="9.140625" style="9"/>
    <col min="3856" max="3856" width="11.140625" style="9" bestFit="1" customWidth="1"/>
    <col min="3857" max="4095" width="9.140625" style="9"/>
    <col min="4096" max="4096" width="4" style="9" customWidth="1"/>
    <col min="4097" max="4097" width="30.7109375" style="9" customWidth="1"/>
    <col min="4098" max="4099" width="10" style="9" customWidth="1"/>
    <col min="4100" max="4100" width="9.85546875" style="9" customWidth="1"/>
    <col min="4101" max="4101" width="12.42578125" style="9" customWidth="1"/>
    <col min="4102" max="4107" width="12.7109375" style="9" customWidth="1"/>
    <col min="4108" max="4108" width="13" style="9" customWidth="1"/>
    <col min="4109" max="4110" width="12.7109375" style="9" customWidth="1"/>
    <col min="4111" max="4111" width="9.140625" style="9"/>
    <col min="4112" max="4112" width="11.140625" style="9" bestFit="1" customWidth="1"/>
    <col min="4113" max="4351" width="9.140625" style="9"/>
    <col min="4352" max="4352" width="4" style="9" customWidth="1"/>
    <col min="4353" max="4353" width="30.7109375" style="9" customWidth="1"/>
    <col min="4354" max="4355" width="10" style="9" customWidth="1"/>
    <col min="4356" max="4356" width="9.85546875" style="9" customWidth="1"/>
    <col min="4357" max="4357" width="12.42578125" style="9" customWidth="1"/>
    <col min="4358" max="4363" width="12.7109375" style="9" customWidth="1"/>
    <col min="4364" max="4364" width="13" style="9" customWidth="1"/>
    <col min="4365" max="4366" width="12.7109375" style="9" customWidth="1"/>
    <col min="4367" max="4367" width="9.140625" style="9"/>
    <col min="4368" max="4368" width="11.140625" style="9" bestFit="1" customWidth="1"/>
    <col min="4369" max="4607" width="9.140625" style="9"/>
    <col min="4608" max="4608" width="4" style="9" customWidth="1"/>
    <col min="4609" max="4609" width="30.7109375" style="9" customWidth="1"/>
    <col min="4610" max="4611" width="10" style="9" customWidth="1"/>
    <col min="4612" max="4612" width="9.85546875" style="9" customWidth="1"/>
    <col min="4613" max="4613" width="12.42578125" style="9" customWidth="1"/>
    <col min="4614" max="4619" width="12.7109375" style="9" customWidth="1"/>
    <col min="4620" max="4620" width="13" style="9" customWidth="1"/>
    <col min="4621" max="4622" width="12.7109375" style="9" customWidth="1"/>
    <col min="4623" max="4623" width="9.140625" style="9"/>
    <col min="4624" max="4624" width="11.140625" style="9" bestFit="1" customWidth="1"/>
    <col min="4625" max="4863" width="9.140625" style="9"/>
    <col min="4864" max="4864" width="4" style="9" customWidth="1"/>
    <col min="4865" max="4865" width="30.7109375" style="9" customWidth="1"/>
    <col min="4866" max="4867" width="10" style="9" customWidth="1"/>
    <col min="4868" max="4868" width="9.85546875" style="9" customWidth="1"/>
    <col min="4869" max="4869" width="12.42578125" style="9" customWidth="1"/>
    <col min="4870" max="4875" width="12.7109375" style="9" customWidth="1"/>
    <col min="4876" max="4876" width="13" style="9" customWidth="1"/>
    <col min="4877" max="4878" width="12.7109375" style="9" customWidth="1"/>
    <col min="4879" max="4879" width="9.140625" style="9"/>
    <col min="4880" max="4880" width="11.140625" style="9" bestFit="1" customWidth="1"/>
    <col min="4881" max="5119" width="9.140625" style="9"/>
    <col min="5120" max="5120" width="4" style="9" customWidth="1"/>
    <col min="5121" max="5121" width="30.7109375" style="9" customWidth="1"/>
    <col min="5122" max="5123" width="10" style="9" customWidth="1"/>
    <col min="5124" max="5124" width="9.85546875" style="9" customWidth="1"/>
    <col min="5125" max="5125" width="12.42578125" style="9" customWidth="1"/>
    <col min="5126" max="5131" width="12.7109375" style="9" customWidth="1"/>
    <col min="5132" max="5132" width="13" style="9" customWidth="1"/>
    <col min="5133" max="5134" width="12.7109375" style="9" customWidth="1"/>
    <col min="5135" max="5135" width="9.140625" style="9"/>
    <col min="5136" max="5136" width="11.140625" style="9" bestFit="1" customWidth="1"/>
    <col min="5137" max="5375" width="9.140625" style="9"/>
    <col min="5376" max="5376" width="4" style="9" customWidth="1"/>
    <col min="5377" max="5377" width="30.7109375" style="9" customWidth="1"/>
    <col min="5378" max="5379" width="10" style="9" customWidth="1"/>
    <col min="5380" max="5380" width="9.85546875" style="9" customWidth="1"/>
    <col min="5381" max="5381" width="12.42578125" style="9" customWidth="1"/>
    <col min="5382" max="5387" width="12.7109375" style="9" customWidth="1"/>
    <col min="5388" max="5388" width="13" style="9" customWidth="1"/>
    <col min="5389" max="5390" width="12.7109375" style="9" customWidth="1"/>
    <col min="5391" max="5391" width="9.140625" style="9"/>
    <col min="5392" max="5392" width="11.140625" style="9" bestFit="1" customWidth="1"/>
    <col min="5393" max="5631" width="9.140625" style="9"/>
    <col min="5632" max="5632" width="4" style="9" customWidth="1"/>
    <col min="5633" max="5633" width="30.7109375" style="9" customWidth="1"/>
    <col min="5634" max="5635" width="10" style="9" customWidth="1"/>
    <col min="5636" max="5636" width="9.85546875" style="9" customWidth="1"/>
    <col min="5637" max="5637" width="12.42578125" style="9" customWidth="1"/>
    <col min="5638" max="5643" width="12.7109375" style="9" customWidth="1"/>
    <col min="5644" max="5644" width="13" style="9" customWidth="1"/>
    <col min="5645" max="5646" width="12.7109375" style="9" customWidth="1"/>
    <col min="5647" max="5647" width="9.140625" style="9"/>
    <col min="5648" max="5648" width="11.140625" style="9" bestFit="1" customWidth="1"/>
    <col min="5649" max="5887" width="9.140625" style="9"/>
    <col min="5888" max="5888" width="4" style="9" customWidth="1"/>
    <col min="5889" max="5889" width="30.7109375" style="9" customWidth="1"/>
    <col min="5890" max="5891" width="10" style="9" customWidth="1"/>
    <col min="5892" max="5892" width="9.85546875" style="9" customWidth="1"/>
    <col min="5893" max="5893" width="12.42578125" style="9" customWidth="1"/>
    <col min="5894" max="5899" width="12.7109375" style="9" customWidth="1"/>
    <col min="5900" max="5900" width="13" style="9" customWidth="1"/>
    <col min="5901" max="5902" width="12.7109375" style="9" customWidth="1"/>
    <col min="5903" max="5903" width="9.140625" style="9"/>
    <col min="5904" max="5904" width="11.140625" style="9" bestFit="1" customWidth="1"/>
    <col min="5905" max="6143" width="9.140625" style="9"/>
    <col min="6144" max="6144" width="4" style="9" customWidth="1"/>
    <col min="6145" max="6145" width="30.7109375" style="9" customWidth="1"/>
    <col min="6146" max="6147" width="10" style="9" customWidth="1"/>
    <col min="6148" max="6148" width="9.85546875" style="9" customWidth="1"/>
    <col min="6149" max="6149" width="12.42578125" style="9" customWidth="1"/>
    <col min="6150" max="6155" width="12.7109375" style="9" customWidth="1"/>
    <col min="6156" max="6156" width="13" style="9" customWidth="1"/>
    <col min="6157" max="6158" width="12.7109375" style="9" customWidth="1"/>
    <col min="6159" max="6159" width="9.140625" style="9"/>
    <col min="6160" max="6160" width="11.140625" style="9" bestFit="1" customWidth="1"/>
    <col min="6161" max="6399" width="9.140625" style="9"/>
    <col min="6400" max="6400" width="4" style="9" customWidth="1"/>
    <col min="6401" max="6401" width="30.7109375" style="9" customWidth="1"/>
    <col min="6402" max="6403" width="10" style="9" customWidth="1"/>
    <col min="6404" max="6404" width="9.85546875" style="9" customWidth="1"/>
    <col min="6405" max="6405" width="12.42578125" style="9" customWidth="1"/>
    <col min="6406" max="6411" width="12.7109375" style="9" customWidth="1"/>
    <col min="6412" max="6412" width="13" style="9" customWidth="1"/>
    <col min="6413" max="6414" width="12.7109375" style="9" customWidth="1"/>
    <col min="6415" max="6415" width="9.140625" style="9"/>
    <col min="6416" max="6416" width="11.140625" style="9" bestFit="1" customWidth="1"/>
    <col min="6417" max="6655" width="9.140625" style="9"/>
    <col min="6656" max="6656" width="4" style="9" customWidth="1"/>
    <col min="6657" max="6657" width="30.7109375" style="9" customWidth="1"/>
    <col min="6658" max="6659" width="10" style="9" customWidth="1"/>
    <col min="6660" max="6660" width="9.85546875" style="9" customWidth="1"/>
    <col min="6661" max="6661" width="12.42578125" style="9" customWidth="1"/>
    <col min="6662" max="6667" width="12.7109375" style="9" customWidth="1"/>
    <col min="6668" max="6668" width="13" style="9" customWidth="1"/>
    <col min="6669" max="6670" width="12.7109375" style="9" customWidth="1"/>
    <col min="6671" max="6671" width="9.140625" style="9"/>
    <col min="6672" max="6672" width="11.140625" style="9" bestFit="1" customWidth="1"/>
    <col min="6673" max="6911" width="9.140625" style="9"/>
    <col min="6912" max="6912" width="4" style="9" customWidth="1"/>
    <col min="6913" max="6913" width="30.7109375" style="9" customWidth="1"/>
    <col min="6914" max="6915" width="10" style="9" customWidth="1"/>
    <col min="6916" max="6916" width="9.85546875" style="9" customWidth="1"/>
    <col min="6917" max="6917" width="12.42578125" style="9" customWidth="1"/>
    <col min="6918" max="6923" width="12.7109375" style="9" customWidth="1"/>
    <col min="6924" max="6924" width="13" style="9" customWidth="1"/>
    <col min="6925" max="6926" width="12.7109375" style="9" customWidth="1"/>
    <col min="6927" max="6927" width="9.140625" style="9"/>
    <col min="6928" max="6928" width="11.140625" style="9" bestFit="1" customWidth="1"/>
    <col min="6929" max="7167" width="9.140625" style="9"/>
    <col min="7168" max="7168" width="4" style="9" customWidth="1"/>
    <col min="7169" max="7169" width="30.7109375" style="9" customWidth="1"/>
    <col min="7170" max="7171" width="10" style="9" customWidth="1"/>
    <col min="7172" max="7172" width="9.85546875" style="9" customWidth="1"/>
    <col min="7173" max="7173" width="12.42578125" style="9" customWidth="1"/>
    <col min="7174" max="7179" width="12.7109375" style="9" customWidth="1"/>
    <col min="7180" max="7180" width="13" style="9" customWidth="1"/>
    <col min="7181" max="7182" width="12.7109375" style="9" customWidth="1"/>
    <col min="7183" max="7183" width="9.140625" style="9"/>
    <col min="7184" max="7184" width="11.140625" style="9" bestFit="1" customWidth="1"/>
    <col min="7185" max="7423" width="9.140625" style="9"/>
    <col min="7424" max="7424" width="4" style="9" customWidth="1"/>
    <col min="7425" max="7425" width="30.7109375" style="9" customWidth="1"/>
    <col min="7426" max="7427" width="10" style="9" customWidth="1"/>
    <col min="7428" max="7428" width="9.85546875" style="9" customWidth="1"/>
    <col min="7429" max="7429" width="12.42578125" style="9" customWidth="1"/>
    <col min="7430" max="7435" width="12.7109375" style="9" customWidth="1"/>
    <col min="7436" max="7436" width="13" style="9" customWidth="1"/>
    <col min="7437" max="7438" width="12.7109375" style="9" customWidth="1"/>
    <col min="7439" max="7439" width="9.140625" style="9"/>
    <col min="7440" max="7440" width="11.140625" style="9" bestFit="1" customWidth="1"/>
    <col min="7441" max="7679" width="9.140625" style="9"/>
    <col min="7680" max="7680" width="4" style="9" customWidth="1"/>
    <col min="7681" max="7681" width="30.7109375" style="9" customWidth="1"/>
    <col min="7682" max="7683" width="10" style="9" customWidth="1"/>
    <col min="7684" max="7684" width="9.85546875" style="9" customWidth="1"/>
    <col min="7685" max="7685" width="12.42578125" style="9" customWidth="1"/>
    <col min="7686" max="7691" width="12.7109375" style="9" customWidth="1"/>
    <col min="7692" max="7692" width="13" style="9" customWidth="1"/>
    <col min="7693" max="7694" width="12.7109375" style="9" customWidth="1"/>
    <col min="7695" max="7695" width="9.140625" style="9"/>
    <col min="7696" max="7696" width="11.140625" style="9" bestFit="1" customWidth="1"/>
    <col min="7697" max="7935" width="9.140625" style="9"/>
    <col min="7936" max="7936" width="4" style="9" customWidth="1"/>
    <col min="7937" max="7937" width="30.7109375" style="9" customWidth="1"/>
    <col min="7938" max="7939" width="10" style="9" customWidth="1"/>
    <col min="7940" max="7940" width="9.85546875" style="9" customWidth="1"/>
    <col min="7941" max="7941" width="12.42578125" style="9" customWidth="1"/>
    <col min="7942" max="7947" width="12.7109375" style="9" customWidth="1"/>
    <col min="7948" max="7948" width="13" style="9" customWidth="1"/>
    <col min="7949" max="7950" width="12.7109375" style="9" customWidth="1"/>
    <col min="7951" max="7951" width="9.140625" style="9"/>
    <col min="7952" max="7952" width="11.140625" style="9" bestFit="1" customWidth="1"/>
    <col min="7953" max="8191" width="9.140625" style="9"/>
    <col min="8192" max="8192" width="4" style="9" customWidth="1"/>
    <col min="8193" max="8193" width="30.7109375" style="9" customWidth="1"/>
    <col min="8194" max="8195" width="10" style="9" customWidth="1"/>
    <col min="8196" max="8196" width="9.85546875" style="9" customWidth="1"/>
    <col min="8197" max="8197" width="12.42578125" style="9" customWidth="1"/>
    <col min="8198" max="8203" width="12.7109375" style="9" customWidth="1"/>
    <col min="8204" max="8204" width="13" style="9" customWidth="1"/>
    <col min="8205" max="8206" width="12.7109375" style="9" customWidth="1"/>
    <col min="8207" max="8207" width="9.140625" style="9"/>
    <col min="8208" max="8208" width="11.140625" style="9" bestFit="1" customWidth="1"/>
    <col min="8209" max="8447" width="9.140625" style="9"/>
    <col min="8448" max="8448" width="4" style="9" customWidth="1"/>
    <col min="8449" max="8449" width="30.7109375" style="9" customWidth="1"/>
    <col min="8450" max="8451" width="10" style="9" customWidth="1"/>
    <col min="8452" max="8452" width="9.85546875" style="9" customWidth="1"/>
    <col min="8453" max="8453" width="12.42578125" style="9" customWidth="1"/>
    <col min="8454" max="8459" width="12.7109375" style="9" customWidth="1"/>
    <col min="8460" max="8460" width="13" style="9" customWidth="1"/>
    <col min="8461" max="8462" width="12.7109375" style="9" customWidth="1"/>
    <col min="8463" max="8463" width="9.140625" style="9"/>
    <col min="8464" max="8464" width="11.140625" style="9" bestFit="1" customWidth="1"/>
    <col min="8465" max="8703" width="9.140625" style="9"/>
    <col min="8704" max="8704" width="4" style="9" customWidth="1"/>
    <col min="8705" max="8705" width="30.7109375" style="9" customWidth="1"/>
    <col min="8706" max="8707" width="10" style="9" customWidth="1"/>
    <col min="8708" max="8708" width="9.85546875" style="9" customWidth="1"/>
    <col min="8709" max="8709" width="12.42578125" style="9" customWidth="1"/>
    <col min="8710" max="8715" width="12.7109375" style="9" customWidth="1"/>
    <col min="8716" max="8716" width="13" style="9" customWidth="1"/>
    <col min="8717" max="8718" width="12.7109375" style="9" customWidth="1"/>
    <col min="8719" max="8719" width="9.140625" style="9"/>
    <col min="8720" max="8720" width="11.140625" style="9" bestFit="1" customWidth="1"/>
    <col min="8721" max="8959" width="9.140625" style="9"/>
    <col min="8960" max="8960" width="4" style="9" customWidth="1"/>
    <col min="8961" max="8961" width="30.7109375" style="9" customWidth="1"/>
    <col min="8962" max="8963" width="10" style="9" customWidth="1"/>
    <col min="8964" max="8964" width="9.85546875" style="9" customWidth="1"/>
    <col min="8965" max="8965" width="12.42578125" style="9" customWidth="1"/>
    <col min="8966" max="8971" width="12.7109375" style="9" customWidth="1"/>
    <col min="8972" max="8972" width="13" style="9" customWidth="1"/>
    <col min="8973" max="8974" width="12.7109375" style="9" customWidth="1"/>
    <col min="8975" max="8975" width="9.140625" style="9"/>
    <col min="8976" max="8976" width="11.140625" style="9" bestFit="1" customWidth="1"/>
    <col min="8977" max="9215" width="9.140625" style="9"/>
    <col min="9216" max="9216" width="4" style="9" customWidth="1"/>
    <col min="9217" max="9217" width="30.7109375" style="9" customWidth="1"/>
    <col min="9218" max="9219" width="10" style="9" customWidth="1"/>
    <col min="9220" max="9220" width="9.85546875" style="9" customWidth="1"/>
    <col min="9221" max="9221" width="12.42578125" style="9" customWidth="1"/>
    <col min="9222" max="9227" width="12.7109375" style="9" customWidth="1"/>
    <col min="9228" max="9228" width="13" style="9" customWidth="1"/>
    <col min="9229" max="9230" width="12.7109375" style="9" customWidth="1"/>
    <col min="9231" max="9231" width="9.140625" style="9"/>
    <col min="9232" max="9232" width="11.140625" style="9" bestFit="1" customWidth="1"/>
    <col min="9233" max="9471" width="9.140625" style="9"/>
    <col min="9472" max="9472" width="4" style="9" customWidth="1"/>
    <col min="9473" max="9473" width="30.7109375" style="9" customWidth="1"/>
    <col min="9474" max="9475" width="10" style="9" customWidth="1"/>
    <col min="9476" max="9476" width="9.85546875" style="9" customWidth="1"/>
    <col min="9477" max="9477" width="12.42578125" style="9" customWidth="1"/>
    <col min="9478" max="9483" width="12.7109375" style="9" customWidth="1"/>
    <col min="9484" max="9484" width="13" style="9" customWidth="1"/>
    <col min="9485" max="9486" width="12.7109375" style="9" customWidth="1"/>
    <col min="9487" max="9487" width="9.140625" style="9"/>
    <col min="9488" max="9488" width="11.140625" style="9" bestFit="1" customWidth="1"/>
    <col min="9489" max="9727" width="9.140625" style="9"/>
    <col min="9728" max="9728" width="4" style="9" customWidth="1"/>
    <col min="9729" max="9729" width="30.7109375" style="9" customWidth="1"/>
    <col min="9730" max="9731" width="10" style="9" customWidth="1"/>
    <col min="9732" max="9732" width="9.85546875" style="9" customWidth="1"/>
    <col min="9733" max="9733" width="12.42578125" style="9" customWidth="1"/>
    <col min="9734" max="9739" width="12.7109375" style="9" customWidth="1"/>
    <col min="9740" max="9740" width="13" style="9" customWidth="1"/>
    <col min="9741" max="9742" width="12.7109375" style="9" customWidth="1"/>
    <col min="9743" max="9743" width="9.140625" style="9"/>
    <col min="9744" max="9744" width="11.140625" style="9" bestFit="1" customWidth="1"/>
    <col min="9745" max="9983" width="9.140625" style="9"/>
    <col min="9984" max="9984" width="4" style="9" customWidth="1"/>
    <col min="9985" max="9985" width="30.7109375" style="9" customWidth="1"/>
    <col min="9986" max="9987" width="10" style="9" customWidth="1"/>
    <col min="9988" max="9988" width="9.85546875" style="9" customWidth="1"/>
    <col min="9989" max="9989" width="12.42578125" style="9" customWidth="1"/>
    <col min="9990" max="9995" width="12.7109375" style="9" customWidth="1"/>
    <col min="9996" max="9996" width="13" style="9" customWidth="1"/>
    <col min="9997" max="9998" width="12.7109375" style="9" customWidth="1"/>
    <col min="9999" max="9999" width="9.140625" style="9"/>
    <col min="10000" max="10000" width="11.140625" style="9" bestFit="1" customWidth="1"/>
    <col min="10001" max="10239" width="9.140625" style="9"/>
    <col min="10240" max="10240" width="4" style="9" customWidth="1"/>
    <col min="10241" max="10241" width="30.7109375" style="9" customWidth="1"/>
    <col min="10242" max="10243" width="10" style="9" customWidth="1"/>
    <col min="10244" max="10244" width="9.85546875" style="9" customWidth="1"/>
    <col min="10245" max="10245" width="12.42578125" style="9" customWidth="1"/>
    <col min="10246" max="10251" width="12.7109375" style="9" customWidth="1"/>
    <col min="10252" max="10252" width="13" style="9" customWidth="1"/>
    <col min="10253" max="10254" width="12.7109375" style="9" customWidth="1"/>
    <col min="10255" max="10255" width="9.140625" style="9"/>
    <col min="10256" max="10256" width="11.140625" style="9" bestFit="1" customWidth="1"/>
    <col min="10257" max="10495" width="9.140625" style="9"/>
    <col min="10496" max="10496" width="4" style="9" customWidth="1"/>
    <col min="10497" max="10497" width="30.7109375" style="9" customWidth="1"/>
    <col min="10498" max="10499" width="10" style="9" customWidth="1"/>
    <col min="10500" max="10500" width="9.85546875" style="9" customWidth="1"/>
    <col min="10501" max="10501" width="12.42578125" style="9" customWidth="1"/>
    <col min="10502" max="10507" width="12.7109375" style="9" customWidth="1"/>
    <col min="10508" max="10508" width="13" style="9" customWidth="1"/>
    <col min="10509" max="10510" width="12.7109375" style="9" customWidth="1"/>
    <col min="10511" max="10511" width="9.140625" style="9"/>
    <col min="10512" max="10512" width="11.140625" style="9" bestFit="1" customWidth="1"/>
    <col min="10513" max="10751" width="9.140625" style="9"/>
    <col min="10752" max="10752" width="4" style="9" customWidth="1"/>
    <col min="10753" max="10753" width="30.7109375" style="9" customWidth="1"/>
    <col min="10754" max="10755" width="10" style="9" customWidth="1"/>
    <col min="10756" max="10756" width="9.85546875" style="9" customWidth="1"/>
    <col min="10757" max="10757" width="12.42578125" style="9" customWidth="1"/>
    <col min="10758" max="10763" width="12.7109375" style="9" customWidth="1"/>
    <col min="10764" max="10764" width="13" style="9" customWidth="1"/>
    <col min="10765" max="10766" width="12.7109375" style="9" customWidth="1"/>
    <col min="10767" max="10767" width="9.140625" style="9"/>
    <col min="10768" max="10768" width="11.140625" style="9" bestFit="1" customWidth="1"/>
    <col min="10769" max="11007" width="9.140625" style="9"/>
    <col min="11008" max="11008" width="4" style="9" customWidth="1"/>
    <col min="11009" max="11009" width="30.7109375" style="9" customWidth="1"/>
    <col min="11010" max="11011" width="10" style="9" customWidth="1"/>
    <col min="11012" max="11012" width="9.85546875" style="9" customWidth="1"/>
    <col min="11013" max="11013" width="12.42578125" style="9" customWidth="1"/>
    <col min="11014" max="11019" width="12.7109375" style="9" customWidth="1"/>
    <col min="11020" max="11020" width="13" style="9" customWidth="1"/>
    <col min="11021" max="11022" width="12.7109375" style="9" customWidth="1"/>
    <col min="11023" max="11023" width="9.140625" style="9"/>
    <col min="11024" max="11024" width="11.140625" style="9" bestFit="1" customWidth="1"/>
    <col min="11025" max="11263" width="9.140625" style="9"/>
    <col min="11264" max="11264" width="4" style="9" customWidth="1"/>
    <col min="11265" max="11265" width="30.7109375" style="9" customWidth="1"/>
    <col min="11266" max="11267" width="10" style="9" customWidth="1"/>
    <col min="11268" max="11268" width="9.85546875" style="9" customWidth="1"/>
    <col min="11269" max="11269" width="12.42578125" style="9" customWidth="1"/>
    <col min="11270" max="11275" width="12.7109375" style="9" customWidth="1"/>
    <col min="11276" max="11276" width="13" style="9" customWidth="1"/>
    <col min="11277" max="11278" width="12.7109375" style="9" customWidth="1"/>
    <col min="11279" max="11279" width="9.140625" style="9"/>
    <col min="11280" max="11280" width="11.140625" style="9" bestFit="1" customWidth="1"/>
    <col min="11281" max="11519" width="9.140625" style="9"/>
    <col min="11520" max="11520" width="4" style="9" customWidth="1"/>
    <col min="11521" max="11521" width="30.7109375" style="9" customWidth="1"/>
    <col min="11522" max="11523" width="10" style="9" customWidth="1"/>
    <col min="11524" max="11524" width="9.85546875" style="9" customWidth="1"/>
    <col min="11525" max="11525" width="12.42578125" style="9" customWidth="1"/>
    <col min="11526" max="11531" width="12.7109375" style="9" customWidth="1"/>
    <col min="11532" max="11532" width="13" style="9" customWidth="1"/>
    <col min="11533" max="11534" width="12.7109375" style="9" customWidth="1"/>
    <col min="11535" max="11535" width="9.140625" style="9"/>
    <col min="11536" max="11536" width="11.140625" style="9" bestFit="1" customWidth="1"/>
    <col min="11537" max="11775" width="9.140625" style="9"/>
    <col min="11776" max="11776" width="4" style="9" customWidth="1"/>
    <col min="11777" max="11777" width="30.7109375" style="9" customWidth="1"/>
    <col min="11778" max="11779" width="10" style="9" customWidth="1"/>
    <col min="11780" max="11780" width="9.85546875" style="9" customWidth="1"/>
    <col min="11781" max="11781" width="12.42578125" style="9" customWidth="1"/>
    <col min="11782" max="11787" width="12.7109375" style="9" customWidth="1"/>
    <col min="11788" max="11788" width="13" style="9" customWidth="1"/>
    <col min="11789" max="11790" width="12.7109375" style="9" customWidth="1"/>
    <col min="11791" max="11791" width="9.140625" style="9"/>
    <col min="11792" max="11792" width="11.140625" style="9" bestFit="1" customWidth="1"/>
    <col min="11793" max="12031" width="9.140625" style="9"/>
    <col min="12032" max="12032" width="4" style="9" customWidth="1"/>
    <col min="12033" max="12033" width="30.7109375" style="9" customWidth="1"/>
    <col min="12034" max="12035" width="10" style="9" customWidth="1"/>
    <col min="12036" max="12036" width="9.85546875" style="9" customWidth="1"/>
    <col min="12037" max="12037" width="12.42578125" style="9" customWidth="1"/>
    <col min="12038" max="12043" width="12.7109375" style="9" customWidth="1"/>
    <col min="12044" max="12044" width="13" style="9" customWidth="1"/>
    <col min="12045" max="12046" width="12.7109375" style="9" customWidth="1"/>
    <col min="12047" max="12047" width="9.140625" style="9"/>
    <col min="12048" max="12048" width="11.140625" style="9" bestFit="1" customWidth="1"/>
    <col min="12049" max="12287" width="9.140625" style="9"/>
    <col min="12288" max="12288" width="4" style="9" customWidth="1"/>
    <col min="12289" max="12289" width="30.7109375" style="9" customWidth="1"/>
    <col min="12290" max="12291" width="10" style="9" customWidth="1"/>
    <col min="12292" max="12292" width="9.85546875" style="9" customWidth="1"/>
    <col min="12293" max="12293" width="12.42578125" style="9" customWidth="1"/>
    <col min="12294" max="12299" width="12.7109375" style="9" customWidth="1"/>
    <col min="12300" max="12300" width="13" style="9" customWidth="1"/>
    <col min="12301" max="12302" width="12.7109375" style="9" customWidth="1"/>
    <col min="12303" max="12303" width="9.140625" style="9"/>
    <col min="12304" max="12304" width="11.140625" style="9" bestFit="1" customWidth="1"/>
    <col min="12305" max="12543" width="9.140625" style="9"/>
    <col min="12544" max="12544" width="4" style="9" customWidth="1"/>
    <col min="12545" max="12545" width="30.7109375" style="9" customWidth="1"/>
    <col min="12546" max="12547" width="10" style="9" customWidth="1"/>
    <col min="12548" max="12548" width="9.85546875" style="9" customWidth="1"/>
    <col min="12549" max="12549" width="12.42578125" style="9" customWidth="1"/>
    <col min="12550" max="12555" width="12.7109375" style="9" customWidth="1"/>
    <col min="12556" max="12556" width="13" style="9" customWidth="1"/>
    <col min="12557" max="12558" width="12.7109375" style="9" customWidth="1"/>
    <col min="12559" max="12559" width="9.140625" style="9"/>
    <col min="12560" max="12560" width="11.140625" style="9" bestFit="1" customWidth="1"/>
    <col min="12561" max="12799" width="9.140625" style="9"/>
    <col min="12800" max="12800" width="4" style="9" customWidth="1"/>
    <col min="12801" max="12801" width="30.7109375" style="9" customWidth="1"/>
    <col min="12802" max="12803" width="10" style="9" customWidth="1"/>
    <col min="12804" max="12804" width="9.85546875" style="9" customWidth="1"/>
    <col min="12805" max="12805" width="12.42578125" style="9" customWidth="1"/>
    <col min="12806" max="12811" width="12.7109375" style="9" customWidth="1"/>
    <col min="12812" max="12812" width="13" style="9" customWidth="1"/>
    <col min="12813" max="12814" width="12.7109375" style="9" customWidth="1"/>
    <col min="12815" max="12815" width="9.140625" style="9"/>
    <col min="12816" max="12816" width="11.140625" style="9" bestFit="1" customWidth="1"/>
    <col min="12817" max="13055" width="9.140625" style="9"/>
    <col min="13056" max="13056" width="4" style="9" customWidth="1"/>
    <col min="13057" max="13057" width="30.7109375" style="9" customWidth="1"/>
    <col min="13058" max="13059" width="10" style="9" customWidth="1"/>
    <col min="13060" max="13060" width="9.85546875" style="9" customWidth="1"/>
    <col min="13061" max="13061" width="12.42578125" style="9" customWidth="1"/>
    <col min="13062" max="13067" width="12.7109375" style="9" customWidth="1"/>
    <col min="13068" max="13068" width="13" style="9" customWidth="1"/>
    <col min="13069" max="13070" width="12.7109375" style="9" customWidth="1"/>
    <col min="13071" max="13071" width="9.140625" style="9"/>
    <col min="13072" max="13072" width="11.140625" style="9" bestFit="1" customWidth="1"/>
    <col min="13073" max="13311" width="9.140625" style="9"/>
    <col min="13312" max="13312" width="4" style="9" customWidth="1"/>
    <col min="13313" max="13313" width="30.7109375" style="9" customWidth="1"/>
    <col min="13314" max="13315" width="10" style="9" customWidth="1"/>
    <col min="13316" max="13316" width="9.85546875" style="9" customWidth="1"/>
    <col min="13317" max="13317" width="12.42578125" style="9" customWidth="1"/>
    <col min="13318" max="13323" width="12.7109375" style="9" customWidth="1"/>
    <col min="13324" max="13324" width="13" style="9" customWidth="1"/>
    <col min="13325" max="13326" width="12.7109375" style="9" customWidth="1"/>
    <col min="13327" max="13327" width="9.140625" style="9"/>
    <col min="13328" max="13328" width="11.140625" style="9" bestFit="1" customWidth="1"/>
    <col min="13329" max="13567" width="9.140625" style="9"/>
    <col min="13568" max="13568" width="4" style="9" customWidth="1"/>
    <col min="13569" max="13569" width="30.7109375" style="9" customWidth="1"/>
    <col min="13570" max="13571" width="10" style="9" customWidth="1"/>
    <col min="13572" max="13572" width="9.85546875" style="9" customWidth="1"/>
    <col min="13573" max="13573" width="12.42578125" style="9" customWidth="1"/>
    <col min="13574" max="13579" width="12.7109375" style="9" customWidth="1"/>
    <col min="13580" max="13580" width="13" style="9" customWidth="1"/>
    <col min="13581" max="13582" width="12.7109375" style="9" customWidth="1"/>
    <col min="13583" max="13583" width="9.140625" style="9"/>
    <col min="13584" max="13584" width="11.140625" style="9" bestFit="1" customWidth="1"/>
    <col min="13585" max="13823" width="9.140625" style="9"/>
    <col min="13824" max="13824" width="4" style="9" customWidth="1"/>
    <col min="13825" max="13825" width="30.7109375" style="9" customWidth="1"/>
    <col min="13826" max="13827" width="10" style="9" customWidth="1"/>
    <col min="13828" max="13828" width="9.85546875" style="9" customWidth="1"/>
    <col min="13829" max="13829" width="12.42578125" style="9" customWidth="1"/>
    <col min="13830" max="13835" width="12.7109375" style="9" customWidth="1"/>
    <col min="13836" max="13836" width="13" style="9" customWidth="1"/>
    <col min="13837" max="13838" width="12.7109375" style="9" customWidth="1"/>
    <col min="13839" max="13839" width="9.140625" style="9"/>
    <col min="13840" max="13840" width="11.140625" style="9" bestFit="1" customWidth="1"/>
    <col min="13841" max="14079" width="9.140625" style="9"/>
    <col min="14080" max="14080" width="4" style="9" customWidth="1"/>
    <col min="14081" max="14081" width="30.7109375" style="9" customWidth="1"/>
    <col min="14082" max="14083" width="10" style="9" customWidth="1"/>
    <col min="14084" max="14084" width="9.85546875" style="9" customWidth="1"/>
    <col min="14085" max="14085" width="12.42578125" style="9" customWidth="1"/>
    <col min="14086" max="14091" width="12.7109375" style="9" customWidth="1"/>
    <col min="14092" max="14092" width="13" style="9" customWidth="1"/>
    <col min="14093" max="14094" width="12.7109375" style="9" customWidth="1"/>
    <col min="14095" max="14095" width="9.140625" style="9"/>
    <col min="14096" max="14096" width="11.140625" style="9" bestFit="1" customWidth="1"/>
    <col min="14097" max="14335" width="9.140625" style="9"/>
    <col min="14336" max="14336" width="4" style="9" customWidth="1"/>
    <col min="14337" max="14337" width="30.7109375" style="9" customWidth="1"/>
    <col min="14338" max="14339" width="10" style="9" customWidth="1"/>
    <col min="14340" max="14340" width="9.85546875" style="9" customWidth="1"/>
    <col min="14341" max="14341" width="12.42578125" style="9" customWidth="1"/>
    <col min="14342" max="14347" width="12.7109375" style="9" customWidth="1"/>
    <col min="14348" max="14348" width="13" style="9" customWidth="1"/>
    <col min="14349" max="14350" width="12.7109375" style="9" customWidth="1"/>
    <col min="14351" max="14351" width="9.140625" style="9"/>
    <col min="14352" max="14352" width="11.140625" style="9" bestFit="1" customWidth="1"/>
    <col min="14353" max="14591" width="9.140625" style="9"/>
    <col min="14592" max="14592" width="4" style="9" customWidth="1"/>
    <col min="14593" max="14593" width="30.7109375" style="9" customWidth="1"/>
    <col min="14594" max="14595" width="10" style="9" customWidth="1"/>
    <col min="14596" max="14596" width="9.85546875" style="9" customWidth="1"/>
    <col min="14597" max="14597" width="12.42578125" style="9" customWidth="1"/>
    <col min="14598" max="14603" width="12.7109375" style="9" customWidth="1"/>
    <col min="14604" max="14604" width="13" style="9" customWidth="1"/>
    <col min="14605" max="14606" width="12.7109375" style="9" customWidth="1"/>
    <col min="14607" max="14607" width="9.140625" style="9"/>
    <col min="14608" max="14608" width="11.140625" style="9" bestFit="1" customWidth="1"/>
    <col min="14609" max="14847" width="9.140625" style="9"/>
    <col min="14848" max="14848" width="4" style="9" customWidth="1"/>
    <col min="14849" max="14849" width="30.7109375" style="9" customWidth="1"/>
    <col min="14850" max="14851" width="10" style="9" customWidth="1"/>
    <col min="14852" max="14852" width="9.85546875" style="9" customWidth="1"/>
    <col min="14853" max="14853" width="12.42578125" style="9" customWidth="1"/>
    <col min="14854" max="14859" width="12.7109375" style="9" customWidth="1"/>
    <col min="14860" max="14860" width="13" style="9" customWidth="1"/>
    <col min="14861" max="14862" width="12.7109375" style="9" customWidth="1"/>
    <col min="14863" max="14863" width="9.140625" style="9"/>
    <col min="14864" max="14864" width="11.140625" style="9" bestFit="1" customWidth="1"/>
    <col min="14865" max="15103" width="9.140625" style="9"/>
    <col min="15104" max="15104" width="4" style="9" customWidth="1"/>
    <col min="15105" max="15105" width="30.7109375" style="9" customWidth="1"/>
    <col min="15106" max="15107" width="10" style="9" customWidth="1"/>
    <col min="15108" max="15108" width="9.85546875" style="9" customWidth="1"/>
    <col min="15109" max="15109" width="12.42578125" style="9" customWidth="1"/>
    <col min="15110" max="15115" width="12.7109375" style="9" customWidth="1"/>
    <col min="15116" max="15116" width="13" style="9" customWidth="1"/>
    <col min="15117" max="15118" width="12.7109375" style="9" customWidth="1"/>
    <col min="15119" max="15119" width="9.140625" style="9"/>
    <col min="15120" max="15120" width="11.140625" style="9" bestFit="1" customWidth="1"/>
    <col min="15121" max="15359" width="9.140625" style="9"/>
    <col min="15360" max="15360" width="4" style="9" customWidth="1"/>
    <col min="15361" max="15361" width="30.7109375" style="9" customWidth="1"/>
    <col min="15362" max="15363" width="10" style="9" customWidth="1"/>
    <col min="15364" max="15364" width="9.85546875" style="9" customWidth="1"/>
    <col min="15365" max="15365" width="12.42578125" style="9" customWidth="1"/>
    <col min="15366" max="15371" width="12.7109375" style="9" customWidth="1"/>
    <col min="15372" max="15372" width="13" style="9" customWidth="1"/>
    <col min="15373" max="15374" width="12.7109375" style="9" customWidth="1"/>
    <col min="15375" max="15375" width="9.140625" style="9"/>
    <col min="15376" max="15376" width="11.140625" style="9" bestFit="1" customWidth="1"/>
    <col min="15377" max="15615" width="9.140625" style="9"/>
    <col min="15616" max="15616" width="4" style="9" customWidth="1"/>
    <col min="15617" max="15617" width="30.7109375" style="9" customWidth="1"/>
    <col min="15618" max="15619" width="10" style="9" customWidth="1"/>
    <col min="15620" max="15620" width="9.85546875" style="9" customWidth="1"/>
    <col min="15621" max="15621" width="12.42578125" style="9" customWidth="1"/>
    <col min="15622" max="15627" width="12.7109375" style="9" customWidth="1"/>
    <col min="15628" max="15628" width="13" style="9" customWidth="1"/>
    <col min="15629" max="15630" width="12.7109375" style="9" customWidth="1"/>
    <col min="15631" max="15631" width="9.140625" style="9"/>
    <col min="15632" max="15632" width="11.140625" style="9" bestFit="1" customWidth="1"/>
    <col min="15633" max="15871" width="9.140625" style="9"/>
    <col min="15872" max="15872" width="4" style="9" customWidth="1"/>
    <col min="15873" max="15873" width="30.7109375" style="9" customWidth="1"/>
    <col min="15874" max="15875" width="10" style="9" customWidth="1"/>
    <col min="15876" max="15876" width="9.85546875" style="9" customWidth="1"/>
    <col min="15877" max="15877" width="12.42578125" style="9" customWidth="1"/>
    <col min="15878" max="15883" width="12.7109375" style="9" customWidth="1"/>
    <col min="15884" max="15884" width="13" style="9" customWidth="1"/>
    <col min="15885" max="15886" width="12.7109375" style="9" customWidth="1"/>
    <col min="15887" max="15887" width="9.140625" style="9"/>
    <col min="15888" max="15888" width="11.140625" style="9" bestFit="1" customWidth="1"/>
    <col min="15889" max="16127" width="9.140625" style="9"/>
    <col min="16128" max="16128" width="4" style="9" customWidth="1"/>
    <col min="16129" max="16129" width="30.7109375" style="9" customWidth="1"/>
    <col min="16130" max="16131" width="10" style="9" customWidth="1"/>
    <col min="16132" max="16132" width="9.85546875" style="9" customWidth="1"/>
    <col min="16133" max="16133" width="12.42578125" style="9" customWidth="1"/>
    <col min="16134" max="16139" width="12.7109375" style="9" customWidth="1"/>
    <col min="16140" max="16140" width="13" style="9" customWidth="1"/>
    <col min="16141" max="16142" width="12.7109375" style="9" customWidth="1"/>
    <col min="16143" max="16143" width="9.140625" style="9"/>
    <col min="16144" max="16144" width="11.140625" style="9" bestFit="1" customWidth="1"/>
    <col min="16145" max="16384" width="9.140625" style="9"/>
  </cols>
  <sheetData>
    <row r="1" spans="1:18" s="7" customFormat="1" ht="13.5" thickBot="1">
      <c r="A1" s="7" t="s">
        <v>15</v>
      </c>
      <c r="B1" s="8"/>
      <c r="D1" s="8"/>
    </row>
    <row r="2" spans="1:18" ht="23.25" thickBot="1">
      <c r="A2" s="1875" t="s">
        <v>16</v>
      </c>
      <c r="B2" s="1876"/>
      <c r="C2" s="1876"/>
      <c r="D2" s="1876"/>
      <c r="E2" s="1876"/>
      <c r="F2" s="1876"/>
      <c r="G2" s="1876"/>
      <c r="H2" s="1876"/>
      <c r="I2" s="1876"/>
      <c r="J2" s="1876"/>
      <c r="K2" s="1876"/>
      <c r="L2" s="1876"/>
      <c r="M2" s="1876"/>
      <c r="N2" s="1876"/>
    </row>
    <row r="3" spans="1:18" ht="16.5" thickBot="1">
      <c r="A3" s="1877" t="s">
        <v>17</v>
      </c>
      <c r="B3" s="1878"/>
      <c r="C3" s="1878"/>
      <c r="D3" s="1878"/>
      <c r="E3" s="1878"/>
      <c r="F3" s="1878"/>
      <c r="G3" s="1878"/>
      <c r="H3" s="1878"/>
      <c r="I3" s="1878"/>
      <c r="J3" s="1878"/>
      <c r="K3" s="1878"/>
      <c r="L3" s="1878"/>
      <c r="M3" s="1878"/>
      <c r="N3" s="1878"/>
    </row>
    <row r="4" spans="1:18" ht="25.5">
      <c r="A4" s="10" t="s">
        <v>18</v>
      </c>
      <c r="B4" s="11"/>
      <c r="C4" s="12" t="s">
        <v>19</v>
      </c>
      <c r="D4" s="12"/>
      <c r="E4" s="13"/>
      <c r="F4" s="1879" t="s">
        <v>20</v>
      </c>
      <c r="G4" s="1881"/>
      <c r="H4" s="1882"/>
      <c r="I4" s="14" t="s">
        <v>21</v>
      </c>
      <c r="J4" s="354"/>
      <c r="K4" s="16"/>
      <c r="L4" s="17"/>
      <c r="M4" s="16" t="s">
        <v>22</v>
      </c>
      <c r="N4" s="17" t="s">
        <v>23</v>
      </c>
    </row>
    <row r="5" spans="1:18" ht="26.25" thickBot="1">
      <c r="A5" s="19" t="s">
        <v>26</v>
      </c>
      <c r="B5" s="20"/>
      <c r="C5" s="21" t="s">
        <v>27</v>
      </c>
      <c r="D5" s="21"/>
      <c r="E5" s="22"/>
      <c r="F5" s="1880"/>
      <c r="G5" s="1883"/>
      <c r="H5" s="1884"/>
      <c r="I5" s="23" t="s">
        <v>28</v>
      </c>
      <c r="J5" s="354"/>
      <c r="K5" s="24"/>
      <c r="L5" s="25"/>
      <c r="M5" s="24" t="s">
        <v>29</v>
      </c>
      <c r="N5" s="25"/>
      <c r="O5" s="25" t="s">
        <v>18</v>
      </c>
      <c r="P5" s="25" t="s">
        <v>31</v>
      </c>
    </row>
    <row r="6" spans="1:18" ht="13.5" thickBot="1">
      <c r="A6" s="26"/>
      <c r="B6" s="27"/>
      <c r="E6" s="28"/>
      <c r="F6" s="355"/>
      <c r="G6" s="30"/>
      <c r="H6" s="28"/>
      <c r="I6" s="31"/>
      <c r="J6" s="28"/>
      <c r="K6" s="31"/>
      <c r="L6" s="28"/>
      <c r="M6" s="31"/>
      <c r="N6" s="28"/>
    </row>
    <row r="7" spans="1:18" ht="31.5" customHeight="1" thickBot="1">
      <c r="A7" s="1946" t="s">
        <v>32</v>
      </c>
      <c r="B7" s="1888" t="s">
        <v>33</v>
      </c>
      <c r="C7" s="1890" t="s">
        <v>34</v>
      </c>
      <c r="D7" s="217"/>
      <c r="E7" s="1892" t="s">
        <v>35</v>
      </c>
      <c r="F7" s="1836" t="s">
        <v>36</v>
      </c>
      <c r="G7" s="1950" t="s">
        <v>360</v>
      </c>
      <c r="H7" s="1951"/>
      <c r="I7" s="1950" t="s">
        <v>361</v>
      </c>
      <c r="J7" s="1951"/>
      <c r="K7" s="1872" t="s">
        <v>362</v>
      </c>
      <c r="L7" s="1955"/>
      <c r="M7" s="1872" t="s">
        <v>363</v>
      </c>
      <c r="N7" s="1955"/>
    </row>
    <row r="8" spans="1:18" ht="19.5" customHeight="1">
      <c r="A8" s="1947"/>
      <c r="B8" s="1889"/>
      <c r="C8" s="1891"/>
      <c r="D8" s="218"/>
      <c r="E8" s="1893"/>
      <c r="F8" s="1837"/>
      <c r="G8" s="1874" t="s">
        <v>364</v>
      </c>
      <c r="H8" s="1874"/>
      <c r="I8" s="1874" t="s">
        <v>365</v>
      </c>
      <c r="J8" s="1874"/>
      <c r="K8" s="1874" t="s">
        <v>366</v>
      </c>
      <c r="L8" s="1874"/>
      <c r="M8" s="1874" t="s">
        <v>367</v>
      </c>
      <c r="N8" s="1874"/>
    </row>
    <row r="9" spans="1:18" ht="21.75" customHeight="1" thickBot="1">
      <c r="A9" s="1947"/>
      <c r="B9" s="1889"/>
      <c r="C9" s="1891"/>
      <c r="D9" s="218"/>
      <c r="E9" s="1893"/>
      <c r="F9" s="1837"/>
      <c r="G9" s="1874"/>
      <c r="H9" s="1874"/>
      <c r="I9" s="1874"/>
      <c r="J9" s="1874"/>
      <c r="K9" s="1874"/>
      <c r="L9" s="1874"/>
      <c r="M9" s="1874"/>
      <c r="N9" s="1874"/>
      <c r="O9" s="219"/>
    </row>
    <row r="10" spans="1:18" ht="39" customHeight="1" thickBot="1">
      <c r="A10" s="1947"/>
      <c r="B10" s="1889"/>
      <c r="C10" s="1891"/>
      <c r="D10" s="218"/>
      <c r="E10" s="1893"/>
      <c r="F10" s="1837"/>
      <c r="G10" s="1868" t="s">
        <v>368</v>
      </c>
      <c r="H10" s="1869"/>
      <c r="I10" s="1961" t="s">
        <v>369</v>
      </c>
      <c r="J10" s="1951"/>
      <c r="K10" s="1978" t="s">
        <v>370</v>
      </c>
      <c r="L10" s="1979"/>
      <c r="M10" s="1978" t="s">
        <v>371</v>
      </c>
      <c r="N10" s="1979"/>
      <c r="Q10" s="1995" t="s">
        <v>372</v>
      </c>
      <c r="R10" s="1995"/>
    </row>
    <row r="11" spans="1:18" ht="13.5" thickBot="1">
      <c r="A11" s="1947"/>
      <c r="B11" s="1889"/>
      <c r="C11" s="1891"/>
      <c r="D11" s="218"/>
      <c r="E11" s="1893"/>
      <c r="F11" s="1837"/>
      <c r="G11" s="1870" t="s">
        <v>46</v>
      </c>
      <c r="H11" s="1871"/>
      <c r="I11" s="1870" t="s">
        <v>46</v>
      </c>
      <c r="J11" s="1871"/>
      <c r="K11" s="1870" t="s">
        <v>46</v>
      </c>
      <c r="L11" s="1871"/>
      <c r="M11" s="1870" t="s">
        <v>46</v>
      </c>
      <c r="N11" s="1871"/>
      <c r="O11" s="219"/>
      <c r="Q11" s="266"/>
      <c r="R11" s="266"/>
    </row>
    <row r="12" spans="1:18" ht="13.5" thickBot="1">
      <c r="A12" s="1947"/>
      <c r="B12" s="1889"/>
      <c r="C12" s="1891"/>
      <c r="D12" s="218"/>
      <c r="E12" s="1893"/>
      <c r="F12" s="1837"/>
      <c r="G12" s="448" t="s">
        <v>47</v>
      </c>
      <c r="H12" s="449" t="s">
        <v>48</v>
      </c>
      <c r="I12" s="412" t="s">
        <v>47</v>
      </c>
      <c r="J12" s="35" t="s">
        <v>48</v>
      </c>
      <c r="K12" s="412" t="s">
        <v>47</v>
      </c>
      <c r="L12" s="35" t="s">
        <v>48</v>
      </c>
      <c r="M12" s="412" t="s">
        <v>47</v>
      </c>
      <c r="N12" s="35" t="s">
        <v>48</v>
      </c>
      <c r="Q12" s="266"/>
      <c r="R12" s="266"/>
    </row>
    <row r="13" spans="1:18" ht="25.5">
      <c r="A13" s="450"/>
      <c r="B13" s="451"/>
      <c r="C13" s="452" t="s">
        <v>373</v>
      </c>
      <c r="D13" s="221"/>
      <c r="E13" s="222"/>
      <c r="F13" s="221"/>
      <c r="G13" s="453"/>
      <c r="H13" s="415"/>
      <c r="I13" s="416"/>
      <c r="J13" s="357"/>
      <c r="K13" s="357"/>
      <c r="L13" s="357"/>
      <c r="M13" s="357"/>
      <c r="N13" s="357"/>
      <c r="Q13" s="266"/>
      <c r="R13" s="266"/>
    </row>
    <row r="14" spans="1:18" ht="38.25">
      <c r="A14" s="241">
        <v>1</v>
      </c>
      <c r="B14" s="454" t="s">
        <v>374</v>
      </c>
      <c r="C14" s="455" t="s">
        <v>375</v>
      </c>
      <c r="D14" s="456">
        <f>248/(1.106+0.27+0.26)</f>
        <v>151.58924205378972</v>
      </c>
      <c r="E14" s="228" t="s">
        <v>192</v>
      </c>
      <c r="F14" s="457">
        <v>25</v>
      </c>
      <c r="G14" s="70">
        <v>25</v>
      </c>
      <c r="H14" s="458">
        <f>G14*0.95</f>
        <v>23.75</v>
      </c>
      <c r="I14" s="459">
        <v>25</v>
      </c>
      <c r="J14" s="460">
        <f>I14*0.97</f>
        <v>24.25</v>
      </c>
      <c r="K14" s="461">
        <v>13.600000000000001</v>
      </c>
      <c r="L14" s="266">
        <f>K14*0.97</f>
        <v>13.192</v>
      </c>
      <c r="M14" s="266">
        <v>25</v>
      </c>
      <c r="N14" s="266">
        <f>M14*0.97</f>
        <v>24.25</v>
      </c>
      <c r="O14" s="462">
        <v>1100016668</v>
      </c>
      <c r="P14" s="463">
        <v>10</v>
      </c>
      <c r="Q14" s="266"/>
      <c r="R14" s="266"/>
    </row>
    <row r="15" spans="1:18" ht="39" thickBot="1">
      <c r="A15" s="241">
        <v>2</v>
      </c>
      <c r="B15" s="454" t="s">
        <v>376</v>
      </c>
      <c r="C15" s="455" t="s">
        <v>377</v>
      </c>
      <c r="D15" s="456">
        <f>181/(0.786+0.18+0.18)</f>
        <v>157.94066317626528</v>
      </c>
      <c r="E15" s="228" t="s">
        <v>192</v>
      </c>
      <c r="F15" s="457">
        <v>50</v>
      </c>
      <c r="G15" s="70">
        <v>30</v>
      </c>
      <c r="H15" s="458">
        <f t="shared" ref="H15:H26" si="0">G15*0.95</f>
        <v>28.5</v>
      </c>
      <c r="I15" s="459">
        <v>30</v>
      </c>
      <c r="J15" s="460">
        <f t="shared" ref="J15:J26" si="1">I15*0.97</f>
        <v>29.099999999999998</v>
      </c>
      <c r="K15" s="461">
        <v>30.4</v>
      </c>
      <c r="L15" s="422">
        <f t="shared" ref="L15:L26" si="2">K15*0.97</f>
        <v>29.488</v>
      </c>
      <c r="M15" s="266">
        <v>30</v>
      </c>
      <c r="N15" s="266">
        <f t="shared" ref="N15:N26" si="3">M15*0.97</f>
        <v>29.099999999999998</v>
      </c>
      <c r="O15" s="462">
        <v>1100016668</v>
      </c>
      <c r="P15" s="463">
        <v>20</v>
      </c>
      <c r="Q15" s="266"/>
      <c r="R15" s="266"/>
    </row>
    <row r="16" spans="1:18" ht="25.5">
      <c r="A16" s="241">
        <v>3</v>
      </c>
      <c r="B16" s="454" t="s">
        <v>378</v>
      </c>
      <c r="C16" s="221" t="s">
        <v>379</v>
      </c>
      <c r="D16" s="464"/>
      <c r="E16" s="465" t="s">
        <v>192</v>
      </c>
      <c r="F16" s="457">
        <v>100</v>
      </c>
      <c r="G16" s="70">
        <v>35</v>
      </c>
      <c r="H16" s="458">
        <f t="shared" si="0"/>
        <v>33.25</v>
      </c>
      <c r="I16" s="466">
        <v>35</v>
      </c>
      <c r="J16" s="460">
        <f t="shared" si="1"/>
        <v>33.949999999999996</v>
      </c>
      <c r="K16" s="461">
        <v>33.92</v>
      </c>
      <c r="L16" s="422">
        <f t="shared" si="2"/>
        <v>32.9024</v>
      </c>
      <c r="M16" s="266">
        <v>35</v>
      </c>
      <c r="N16" s="266">
        <f t="shared" si="3"/>
        <v>33.949999999999996</v>
      </c>
      <c r="O16" s="462">
        <v>1100016668</v>
      </c>
      <c r="P16" s="463">
        <v>30</v>
      </c>
      <c r="Q16" s="266"/>
      <c r="R16" s="266"/>
    </row>
    <row r="17" spans="1:18" ht="63.75">
      <c r="A17" s="241">
        <v>4</v>
      </c>
      <c r="B17" s="467" t="s">
        <v>380</v>
      </c>
      <c r="C17" s="462">
        <v>80.5</v>
      </c>
      <c r="D17" s="468">
        <f>(H17*F17)/C17</f>
        <v>123.91304347826087</v>
      </c>
      <c r="E17" s="465" t="s">
        <v>192</v>
      </c>
      <c r="F17" s="457">
        <v>500</v>
      </c>
      <c r="G17" s="70">
        <v>21</v>
      </c>
      <c r="H17" s="458">
        <f t="shared" si="0"/>
        <v>19.95</v>
      </c>
      <c r="I17" s="469">
        <v>20</v>
      </c>
      <c r="J17" s="460">
        <f t="shared" si="1"/>
        <v>19.399999999999999</v>
      </c>
      <c r="K17" s="461">
        <v>16.510000000000002</v>
      </c>
      <c r="L17" s="422">
        <f t="shared" si="2"/>
        <v>16.014700000000001</v>
      </c>
      <c r="M17" s="266">
        <v>22</v>
      </c>
      <c r="N17" s="266">
        <f t="shared" si="3"/>
        <v>21.34</v>
      </c>
      <c r="O17" s="462">
        <v>1100016552</v>
      </c>
      <c r="P17" s="463">
        <v>10</v>
      </c>
      <c r="Q17" s="266">
        <v>24</v>
      </c>
      <c r="R17" s="266">
        <f>Q17*F17</f>
        <v>12000</v>
      </c>
    </row>
    <row r="18" spans="1:18" ht="15">
      <c r="A18" s="241">
        <v>5</v>
      </c>
      <c r="B18" s="470" t="s">
        <v>381</v>
      </c>
      <c r="C18" s="462">
        <v>18</v>
      </c>
      <c r="D18" s="468">
        <f t="shared" ref="D18:D26" si="4">(H18*F18)/C18</f>
        <v>124.02777777777777</v>
      </c>
      <c r="E18" s="465" t="s">
        <v>192</v>
      </c>
      <c r="F18" s="457">
        <v>50</v>
      </c>
      <c r="G18" s="70">
        <v>47</v>
      </c>
      <c r="H18" s="458">
        <f t="shared" si="0"/>
        <v>44.65</v>
      </c>
      <c r="I18" s="469">
        <v>57</v>
      </c>
      <c r="J18" s="460">
        <f t="shared" si="1"/>
        <v>55.29</v>
      </c>
      <c r="K18" s="461">
        <v>46.28</v>
      </c>
      <c r="L18" s="422">
        <f t="shared" si="2"/>
        <v>44.891599999999997</v>
      </c>
      <c r="M18" s="266">
        <v>55</v>
      </c>
      <c r="N18" s="266">
        <f t="shared" si="3"/>
        <v>53.35</v>
      </c>
      <c r="O18" s="462">
        <v>1100016552</v>
      </c>
      <c r="P18" s="463">
        <v>20</v>
      </c>
      <c r="Q18" s="471">
        <v>59</v>
      </c>
      <c r="R18" s="266">
        <f t="shared" ref="R18:R26" si="5">Q18*F18</f>
        <v>2950</v>
      </c>
    </row>
    <row r="19" spans="1:18" ht="15">
      <c r="A19" s="241">
        <v>6</v>
      </c>
      <c r="B19" s="472" t="s">
        <v>382</v>
      </c>
      <c r="C19" s="462">
        <v>32</v>
      </c>
      <c r="D19" s="468">
        <f t="shared" si="4"/>
        <v>123.5</v>
      </c>
      <c r="E19" s="465" t="s">
        <v>192</v>
      </c>
      <c r="F19" s="457">
        <v>80</v>
      </c>
      <c r="G19" s="70">
        <v>52</v>
      </c>
      <c r="H19" s="458">
        <f t="shared" si="0"/>
        <v>49.4</v>
      </c>
      <c r="I19" s="469">
        <v>59</v>
      </c>
      <c r="J19" s="460">
        <f t="shared" si="1"/>
        <v>57.23</v>
      </c>
      <c r="K19" s="461">
        <v>51.480000000000004</v>
      </c>
      <c r="L19" s="422">
        <f t="shared" si="2"/>
        <v>49.935600000000001</v>
      </c>
      <c r="M19" s="266">
        <v>61</v>
      </c>
      <c r="N19" s="266">
        <f t="shared" si="3"/>
        <v>59.17</v>
      </c>
      <c r="O19" s="462">
        <v>1100016552</v>
      </c>
      <c r="P19" s="463">
        <v>30</v>
      </c>
      <c r="Q19" s="471">
        <v>65</v>
      </c>
      <c r="R19" s="266">
        <f t="shared" si="5"/>
        <v>5200</v>
      </c>
    </row>
    <row r="20" spans="1:18" ht="15">
      <c r="A20" s="241">
        <v>7</v>
      </c>
      <c r="B20" s="472" t="s">
        <v>383</v>
      </c>
      <c r="C20" s="462">
        <v>396</v>
      </c>
      <c r="D20" s="468">
        <f t="shared" si="4"/>
        <v>123.06818181818181</v>
      </c>
      <c r="E20" s="465" t="s">
        <v>192</v>
      </c>
      <c r="F20" s="457">
        <v>900</v>
      </c>
      <c r="G20" s="70">
        <v>57</v>
      </c>
      <c r="H20" s="458">
        <f t="shared" si="0"/>
        <v>54.15</v>
      </c>
      <c r="I20" s="469">
        <v>69</v>
      </c>
      <c r="J20" s="460">
        <f t="shared" si="1"/>
        <v>66.929999999999993</v>
      </c>
      <c r="K20" s="461">
        <v>56.68</v>
      </c>
      <c r="L20" s="422">
        <f t="shared" si="2"/>
        <v>54.979599999999998</v>
      </c>
      <c r="M20" s="266">
        <v>66</v>
      </c>
      <c r="N20" s="266">
        <f t="shared" si="3"/>
        <v>64.02</v>
      </c>
      <c r="O20" s="462">
        <v>1100016552</v>
      </c>
      <c r="P20" s="463">
        <v>40</v>
      </c>
      <c r="Q20" s="471">
        <v>71</v>
      </c>
      <c r="R20" s="266">
        <f t="shared" si="5"/>
        <v>63900</v>
      </c>
    </row>
    <row r="21" spans="1:18" ht="15">
      <c r="A21" s="241">
        <v>8</v>
      </c>
      <c r="B21" s="472" t="s">
        <v>384</v>
      </c>
      <c r="C21" s="462">
        <v>25.68</v>
      </c>
      <c r="D21" s="468">
        <f t="shared" si="4"/>
        <v>128.73831775700933</v>
      </c>
      <c r="E21" s="465" t="s">
        <v>192</v>
      </c>
      <c r="F21" s="457">
        <v>120</v>
      </c>
      <c r="G21" s="70">
        <v>29</v>
      </c>
      <c r="H21" s="458">
        <f t="shared" si="0"/>
        <v>27.549999999999997</v>
      </c>
      <c r="I21" s="469">
        <v>34</v>
      </c>
      <c r="J21" s="460">
        <f t="shared" si="1"/>
        <v>32.979999999999997</v>
      </c>
      <c r="K21" s="461">
        <v>27.56</v>
      </c>
      <c r="L21" s="422">
        <f t="shared" si="2"/>
        <v>26.733199999999997</v>
      </c>
      <c r="M21" s="266">
        <v>33</v>
      </c>
      <c r="N21" s="266">
        <f t="shared" si="3"/>
        <v>32.01</v>
      </c>
      <c r="O21" s="462">
        <v>1100016552</v>
      </c>
      <c r="P21" s="463">
        <v>50</v>
      </c>
      <c r="Q21" s="471">
        <v>37</v>
      </c>
      <c r="R21" s="266">
        <f t="shared" si="5"/>
        <v>4440</v>
      </c>
    </row>
    <row r="22" spans="1:18" ht="15">
      <c r="A22" s="241">
        <v>9</v>
      </c>
      <c r="B22" s="472" t="s">
        <v>385</v>
      </c>
      <c r="C22" s="462">
        <v>352.5</v>
      </c>
      <c r="D22" s="468">
        <f t="shared" si="4"/>
        <v>129.36170212765958</v>
      </c>
      <c r="E22" s="465" t="s">
        <v>192</v>
      </c>
      <c r="F22" s="457">
        <v>1500</v>
      </c>
      <c r="G22" s="70">
        <v>32</v>
      </c>
      <c r="H22" s="458">
        <f t="shared" si="0"/>
        <v>30.4</v>
      </c>
      <c r="I22" s="469">
        <v>37</v>
      </c>
      <c r="J22" s="460">
        <f t="shared" si="1"/>
        <v>35.89</v>
      </c>
      <c r="K22" s="461">
        <v>30.290000000000003</v>
      </c>
      <c r="L22" s="422">
        <f t="shared" si="2"/>
        <v>29.381300000000003</v>
      </c>
      <c r="M22" s="266">
        <v>36</v>
      </c>
      <c r="N22" s="266">
        <f t="shared" si="3"/>
        <v>34.92</v>
      </c>
      <c r="O22" s="462">
        <v>1100016552</v>
      </c>
      <c r="P22" s="463">
        <v>60</v>
      </c>
      <c r="Q22" s="471">
        <v>41</v>
      </c>
      <c r="R22" s="266">
        <f t="shared" si="5"/>
        <v>61500</v>
      </c>
    </row>
    <row r="23" spans="1:18" ht="15">
      <c r="A23" s="241">
        <v>10</v>
      </c>
      <c r="B23" s="472" t="s">
        <v>386</v>
      </c>
      <c r="C23" s="462">
        <v>213.76</v>
      </c>
      <c r="D23" s="468">
        <f t="shared" si="4"/>
        <v>122.30538922155689</v>
      </c>
      <c r="E23" s="465" t="s">
        <v>192</v>
      </c>
      <c r="F23" s="457">
        <v>320</v>
      </c>
      <c r="G23" s="70">
        <v>86</v>
      </c>
      <c r="H23" s="458">
        <f t="shared" si="0"/>
        <v>81.7</v>
      </c>
      <c r="I23" s="469">
        <v>104</v>
      </c>
      <c r="J23" s="460">
        <f t="shared" si="1"/>
        <v>100.88</v>
      </c>
      <c r="K23" s="461">
        <v>88.14</v>
      </c>
      <c r="L23" s="422">
        <f t="shared" si="2"/>
        <v>85.495800000000003</v>
      </c>
      <c r="M23" s="266">
        <v>103</v>
      </c>
      <c r="N23" s="266">
        <f t="shared" si="3"/>
        <v>99.91</v>
      </c>
      <c r="O23" s="462">
        <v>1100016552</v>
      </c>
      <c r="P23" s="463">
        <v>70</v>
      </c>
      <c r="Q23" s="471">
        <v>108</v>
      </c>
      <c r="R23" s="266">
        <f t="shared" si="5"/>
        <v>34560</v>
      </c>
    </row>
    <row r="24" spans="1:18" ht="15">
      <c r="A24" s="241">
        <v>11</v>
      </c>
      <c r="B24" s="472" t="s">
        <v>387</v>
      </c>
      <c r="C24" s="462">
        <v>1205.625</v>
      </c>
      <c r="D24" s="468">
        <f t="shared" si="4"/>
        <v>118.1959564541213</v>
      </c>
      <c r="E24" s="465" t="s">
        <v>192</v>
      </c>
      <c r="F24" s="457">
        <v>625</v>
      </c>
      <c r="G24" s="70">
        <v>240</v>
      </c>
      <c r="H24" s="458">
        <f t="shared" si="0"/>
        <v>228</v>
      </c>
      <c r="I24" s="469">
        <v>309</v>
      </c>
      <c r="J24" s="460">
        <f t="shared" si="1"/>
        <v>299.73</v>
      </c>
      <c r="K24" s="461">
        <v>254.54</v>
      </c>
      <c r="L24" s="422">
        <f t="shared" si="2"/>
        <v>246.90379999999999</v>
      </c>
      <c r="M24" s="266">
        <v>283</v>
      </c>
      <c r="N24" s="266">
        <f t="shared" si="3"/>
        <v>274.51</v>
      </c>
      <c r="O24" s="462">
        <v>1100016552</v>
      </c>
      <c r="P24" s="463">
        <v>80</v>
      </c>
      <c r="Q24" s="471">
        <v>306</v>
      </c>
      <c r="R24" s="266">
        <f t="shared" si="5"/>
        <v>191250</v>
      </c>
    </row>
    <row r="25" spans="1:18" ht="15">
      <c r="A25" s="241">
        <v>12</v>
      </c>
      <c r="B25" s="472" t="s">
        <v>388</v>
      </c>
      <c r="C25" s="462">
        <v>1656.48</v>
      </c>
      <c r="D25" s="468">
        <f t="shared" si="4"/>
        <v>124.5653433787308</v>
      </c>
      <c r="E25" s="465" t="s">
        <v>192</v>
      </c>
      <c r="F25" s="457">
        <v>1200</v>
      </c>
      <c r="G25" s="70">
        <v>181</v>
      </c>
      <c r="H25" s="458">
        <f t="shared" si="0"/>
        <v>171.95</v>
      </c>
      <c r="I25" s="469">
        <v>228</v>
      </c>
      <c r="J25" s="460">
        <f t="shared" si="1"/>
        <v>221.16</v>
      </c>
      <c r="K25" s="461">
        <v>180.95999999999998</v>
      </c>
      <c r="L25" s="422">
        <f t="shared" si="2"/>
        <v>175.53119999999998</v>
      </c>
      <c r="M25" s="266">
        <v>211</v>
      </c>
      <c r="N25" s="266">
        <f t="shared" si="3"/>
        <v>204.67</v>
      </c>
      <c r="O25" s="462">
        <v>1100016552</v>
      </c>
      <c r="P25" s="463">
        <v>90</v>
      </c>
      <c r="Q25" s="471">
        <v>220</v>
      </c>
      <c r="R25" s="266">
        <f t="shared" si="5"/>
        <v>264000</v>
      </c>
    </row>
    <row r="26" spans="1:18" ht="15">
      <c r="A26" s="241">
        <v>13</v>
      </c>
      <c r="B26" s="472" t="s">
        <v>389</v>
      </c>
      <c r="C26" s="462">
        <v>125.32</v>
      </c>
      <c r="D26" s="468">
        <f t="shared" si="4"/>
        <v>123.18464730290457</v>
      </c>
      <c r="E26" s="465" t="s">
        <v>192</v>
      </c>
      <c r="F26" s="457">
        <v>130</v>
      </c>
      <c r="G26" s="70">
        <v>125</v>
      </c>
      <c r="H26" s="458">
        <f t="shared" si="0"/>
        <v>118.75</v>
      </c>
      <c r="I26" s="469">
        <v>163</v>
      </c>
      <c r="J26" s="460">
        <f t="shared" si="1"/>
        <v>158.10999999999999</v>
      </c>
      <c r="K26" s="461">
        <v>128.69999999999999</v>
      </c>
      <c r="L26" s="422">
        <f t="shared" si="2"/>
        <v>124.83899999999998</v>
      </c>
      <c r="M26" s="266">
        <v>149.5</v>
      </c>
      <c r="N26" s="266">
        <f t="shared" si="3"/>
        <v>145.01499999999999</v>
      </c>
      <c r="O26" s="462">
        <v>1100016552</v>
      </c>
      <c r="P26" s="463">
        <v>100</v>
      </c>
      <c r="Q26" s="471">
        <v>161</v>
      </c>
      <c r="R26" s="266">
        <f t="shared" si="5"/>
        <v>20930</v>
      </c>
    </row>
    <row r="27" spans="1:18" ht="13.5" thickBot="1">
      <c r="A27" s="245"/>
      <c r="B27" s="473"/>
      <c r="C27" s="244"/>
      <c r="D27" s="244"/>
      <c r="E27" s="245"/>
      <c r="F27" s="245"/>
      <c r="G27" s="247"/>
      <c r="H27" s="83"/>
      <c r="I27" s="474"/>
      <c r="J27" s="369"/>
      <c r="K27" s="370"/>
      <c r="L27" s="370"/>
      <c r="M27" s="370"/>
      <c r="N27" s="370"/>
      <c r="O27" s="87"/>
      <c r="P27" s="89"/>
      <c r="R27" s="9">
        <f>SUM(R17:R26)</f>
        <v>660730</v>
      </c>
    </row>
    <row r="28" spans="1:18" s="7" customFormat="1" ht="13.5" thickBot="1">
      <c r="A28" s="90" t="s">
        <v>58</v>
      </c>
      <c r="B28" s="91"/>
      <c r="C28" s="92"/>
      <c r="D28" s="371"/>
      <c r="E28" s="93"/>
      <c r="F28" s="372">
        <f>SUM(F14:F26)</f>
        <v>5600</v>
      </c>
      <c r="G28" s="373">
        <f t="shared" ref="G28:N28" si="6">SUMPRODUCT(G13:G27, $F$13:$F$27)</f>
        <v>536385</v>
      </c>
      <c r="H28" s="373">
        <f t="shared" si="6"/>
        <v>509565.75</v>
      </c>
      <c r="I28" s="373">
        <f t="shared" si="6"/>
        <v>666070</v>
      </c>
      <c r="J28" s="373">
        <f t="shared" si="6"/>
        <v>646087.9</v>
      </c>
      <c r="K28" s="373">
        <f t="shared" si="6"/>
        <v>540868.9</v>
      </c>
      <c r="L28" s="373">
        <f>SUMPRODUCT(L13:L27, $F$13:$F$27)</f>
        <v>524642.83299999998</v>
      </c>
      <c r="M28" s="373">
        <f t="shared" si="6"/>
        <v>624085</v>
      </c>
      <c r="N28" s="373">
        <f t="shared" si="6"/>
        <v>605362.44999999995</v>
      </c>
      <c r="O28" s="373"/>
      <c r="P28" s="374"/>
      <c r="Q28" s="373"/>
    </row>
    <row r="29" spans="1:18">
      <c r="A29" s="1860" t="s">
        <v>59</v>
      </c>
      <c r="B29" s="1861"/>
      <c r="C29" s="97"/>
      <c r="D29" s="375"/>
      <c r="E29" s="97"/>
      <c r="F29" s="376"/>
      <c r="G29" s="377">
        <f>G28*3%</f>
        <v>16091.55</v>
      </c>
      <c r="H29" s="378">
        <v>0</v>
      </c>
      <c r="I29" s="379"/>
      <c r="J29" s="377">
        <v>0</v>
      </c>
      <c r="K29" s="379"/>
      <c r="L29" s="377"/>
      <c r="M29" s="379"/>
      <c r="N29" s="377"/>
    </row>
    <row r="30" spans="1:18">
      <c r="A30" s="102" t="s">
        <v>60</v>
      </c>
      <c r="B30" s="103"/>
      <c r="C30" s="97"/>
      <c r="D30" s="375"/>
      <c r="E30" s="97"/>
      <c r="F30" s="376"/>
      <c r="G30" s="380"/>
      <c r="H30" s="381" t="s">
        <v>61</v>
      </c>
      <c r="I30" s="382"/>
      <c r="J30" s="380" t="s">
        <v>61</v>
      </c>
      <c r="K30" s="382"/>
      <c r="L30" s="380" t="s">
        <v>61</v>
      </c>
      <c r="M30" s="382"/>
      <c r="N30" s="380" t="s">
        <v>61</v>
      </c>
    </row>
    <row r="31" spans="1:18">
      <c r="A31" s="1862" t="s">
        <v>62</v>
      </c>
      <c r="B31" s="1863"/>
      <c r="C31" s="97"/>
      <c r="D31" s="375"/>
      <c r="E31" s="97"/>
      <c r="F31" s="376"/>
      <c r="G31" s="380"/>
      <c r="H31" s="381"/>
      <c r="I31" s="382"/>
      <c r="J31" s="380"/>
      <c r="K31" s="382"/>
      <c r="L31" s="380"/>
      <c r="M31" s="382"/>
      <c r="N31" s="380"/>
    </row>
    <row r="32" spans="1:18" ht="12.95" customHeight="1">
      <c r="A32" s="107" t="s">
        <v>63</v>
      </c>
      <c r="B32" s="108"/>
      <c r="C32" s="108"/>
      <c r="D32" s="383"/>
      <c r="E32" s="108"/>
      <c r="F32" s="109"/>
      <c r="G32" s="110">
        <v>0.125</v>
      </c>
      <c r="H32" s="110">
        <v>0.125</v>
      </c>
      <c r="I32" s="110">
        <v>0.125</v>
      </c>
      <c r="J32" s="110">
        <v>0.125</v>
      </c>
      <c r="K32" s="110">
        <v>0.125</v>
      </c>
      <c r="L32" s="110">
        <v>0.125</v>
      </c>
      <c r="M32" s="110">
        <v>0.125</v>
      </c>
      <c r="N32" s="110">
        <v>0.125</v>
      </c>
    </row>
    <row r="33" spans="1:14" ht="12.95" customHeight="1">
      <c r="A33" s="107"/>
      <c r="B33" s="108" t="s">
        <v>64</v>
      </c>
      <c r="C33" s="111"/>
      <c r="D33" s="383"/>
      <c r="E33" s="111"/>
      <c r="F33" s="112"/>
      <c r="G33" s="384">
        <f>(G28+G29+G30+G31)*G32</f>
        <v>69059.568750000006</v>
      </c>
      <c r="H33" s="385">
        <f>(H28+H29+H31)*H32</f>
        <v>63695.71875</v>
      </c>
      <c r="I33" s="386">
        <f>(I28+I29+I30+I31)*I32</f>
        <v>83258.75</v>
      </c>
      <c r="J33" s="384">
        <f>(J28+J29+J31)*J32</f>
        <v>80760.987500000003</v>
      </c>
      <c r="K33" s="386">
        <f>(K28+K29+K30+K31)*K32</f>
        <v>67608.612500000003</v>
      </c>
      <c r="L33" s="384">
        <f>(L28+L29+L31)*L32</f>
        <v>65580.354124999998</v>
      </c>
      <c r="M33" s="386">
        <f>(M28+M29+M30+M31)*M32</f>
        <v>78010.625</v>
      </c>
      <c r="N33" s="384">
        <f>(N28+N29+N31)*N32</f>
        <v>75670.306249999994</v>
      </c>
    </row>
    <row r="34" spans="1:14">
      <c r="A34" s="1862" t="s">
        <v>65</v>
      </c>
      <c r="B34" s="1863"/>
      <c r="C34" s="111"/>
      <c r="D34" s="383"/>
      <c r="E34" s="116"/>
      <c r="F34" s="117"/>
      <c r="G34" s="387">
        <v>0</v>
      </c>
      <c r="H34" s="387">
        <v>0</v>
      </c>
      <c r="I34" s="387">
        <v>0.05</v>
      </c>
      <c r="J34" s="387">
        <v>0.05</v>
      </c>
      <c r="K34" s="387">
        <v>0.05</v>
      </c>
      <c r="L34" s="387">
        <v>0.05</v>
      </c>
      <c r="M34" s="387">
        <v>0.125</v>
      </c>
      <c r="N34" s="387">
        <v>0.125</v>
      </c>
    </row>
    <row r="35" spans="1:14" ht="12.95" customHeight="1">
      <c r="A35" s="102"/>
      <c r="B35" s="103" t="s">
        <v>66</v>
      </c>
      <c r="C35" s="111"/>
      <c r="D35" s="383"/>
      <c r="E35" s="116"/>
      <c r="F35" s="117"/>
      <c r="G35" s="384">
        <f>(G33+G29+G30+G31+G28)*G34</f>
        <v>0</v>
      </c>
      <c r="H35" s="385">
        <f>(H33+H29+H31+H28)*H34</f>
        <v>0</v>
      </c>
      <c r="I35" s="386">
        <f>(I33+I29+I30+I31+I28)*I34</f>
        <v>37466.4375</v>
      </c>
      <c r="J35" s="384">
        <f>(J33+J29+J31+J28)*J34</f>
        <v>36342.444375000006</v>
      </c>
      <c r="K35" s="386">
        <f>(K33+K29+K30+K31+K28)*K34</f>
        <v>30423.875625000004</v>
      </c>
      <c r="L35" s="384">
        <f>(L33+L29+L31+L28)*L34</f>
        <v>29511.159356249998</v>
      </c>
      <c r="M35" s="386">
        <f>(M33+M29+M30+M31+M28)*M34</f>
        <v>87761.953125</v>
      </c>
      <c r="N35" s="384">
        <f>(N33+N29+N31+N28)*N34</f>
        <v>85129.094531249997</v>
      </c>
    </row>
    <row r="36" spans="1:14" ht="12.95" customHeight="1">
      <c r="A36" s="102" t="s">
        <v>67</v>
      </c>
      <c r="B36" s="103"/>
      <c r="C36" s="111"/>
      <c r="D36" s="383"/>
      <c r="E36" s="116"/>
      <c r="F36" s="117"/>
      <c r="G36" s="387"/>
      <c r="H36" s="387"/>
      <c r="I36" s="387"/>
      <c r="J36" s="387"/>
      <c r="K36" s="387"/>
      <c r="L36" s="387"/>
      <c r="M36" s="387"/>
      <c r="N36" s="387"/>
    </row>
    <row r="37" spans="1:14" ht="12.95" customHeight="1">
      <c r="A37" s="102"/>
      <c r="B37" s="103" t="s">
        <v>68</v>
      </c>
      <c r="C37" s="111"/>
      <c r="D37" s="383"/>
      <c r="E37" s="116"/>
      <c r="F37" s="117"/>
      <c r="G37" s="384">
        <f>(G33+G29+G30+G31+G28)*G36</f>
        <v>0</v>
      </c>
      <c r="H37" s="385">
        <f>(H33+H29+H31+H28)*H36</f>
        <v>0</v>
      </c>
      <c r="I37" s="386">
        <f>(I33+I29+I30+I31+I28)*I36</f>
        <v>0</v>
      </c>
      <c r="J37" s="384">
        <f>(J33+J29+J31+J28)*J36</f>
        <v>0</v>
      </c>
      <c r="K37" s="386">
        <f>(K33+K29+K30+K31+K28)*K36</f>
        <v>0</v>
      </c>
      <c r="L37" s="384">
        <f>(L33+L29+L31+L28)*L36</f>
        <v>0</v>
      </c>
      <c r="M37" s="386">
        <f>(M33+M29+M30+M31+M28)*M36</f>
        <v>0</v>
      </c>
      <c r="N37" s="384">
        <f>(N33+N29+N31+N28)*N36</f>
        <v>0</v>
      </c>
    </row>
    <row r="38" spans="1:14" ht="12.95" customHeight="1">
      <c r="A38" s="1862" t="s">
        <v>69</v>
      </c>
      <c r="B38" s="1863"/>
      <c r="C38" s="111"/>
      <c r="D38" s="383"/>
      <c r="E38" s="120"/>
      <c r="F38" s="117"/>
      <c r="G38" s="387"/>
      <c r="H38" s="388"/>
      <c r="I38" s="389"/>
      <c r="J38" s="387"/>
      <c r="K38" s="389"/>
      <c r="L38" s="387"/>
      <c r="M38" s="389"/>
      <c r="N38" s="387"/>
    </row>
    <row r="39" spans="1:14" ht="12.95" customHeight="1">
      <c r="A39" s="122"/>
      <c r="B39" s="123" t="s">
        <v>70</v>
      </c>
      <c r="C39" s="124"/>
      <c r="D39" s="390"/>
      <c r="E39" s="125"/>
      <c r="F39" s="126"/>
      <c r="G39" s="384">
        <f t="shared" ref="G39:N39" si="7">G28*G38</f>
        <v>0</v>
      </c>
      <c r="H39" s="385">
        <f t="shared" si="7"/>
        <v>0</v>
      </c>
      <c r="I39" s="386">
        <f t="shared" si="7"/>
        <v>0</v>
      </c>
      <c r="J39" s="384">
        <f t="shared" si="7"/>
        <v>0</v>
      </c>
      <c r="K39" s="386">
        <f t="shared" si="7"/>
        <v>0</v>
      </c>
      <c r="L39" s="384">
        <f t="shared" si="7"/>
        <v>0</v>
      </c>
      <c r="M39" s="386">
        <f t="shared" si="7"/>
        <v>0</v>
      </c>
      <c r="N39" s="384">
        <f t="shared" si="7"/>
        <v>0</v>
      </c>
    </row>
    <row r="40" spans="1:14" ht="13.5" thickBot="1">
      <c r="A40" s="1864"/>
      <c r="B40" s="1865"/>
      <c r="C40" s="124"/>
      <c r="D40" s="390"/>
      <c r="E40" s="124"/>
      <c r="F40" s="391"/>
      <c r="G40" s="392"/>
      <c r="H40" s="393"/>
      <c r="I40" s="394"/>
      <c r="J40" s="392"/>
      <c r="K40" s="394"/>
      <c r="L40" s="392"/>
      <c r="M40" s="394"/>
      <c r="N40" s="392"/>
    </row>
    <row r="41" spans="1:14" ht="13.5" thickBot="1">
      <c r="A41" s="131" t="s">
        <v>71</v>
      </c>
      <c r="B41" s="132"/>
      <c r="C41" s="132"/>
      <c r="D41" s="395"/>
      <c r="E41" s="132"/>
      <c r="F41" s="133"/>
      <c r="G41" s="134">
        <f>SUM(G28:G40)</f>
        <v>621536.24375000002</v>
      </c>
      <c r="H41" s="135">
        <f>SUM(H28:H40)</f>
        <v>573261.59375</v>
      </c>
      <c r="I41" s="134">
        <f>SUM(I28,I29,I31,I33,I35)</f>
        <v>786795.1875</v>
      </c>
      <c r="J41" s="135">
        <f>SUM(J28:J40)</f>
        <v>763191.50687500008</v>
      </c>
      <c r="K41" s="134">
        <f>SUM(K28,K29,K31,K33,K35)</f>
        <v>638901.38812500006</v>
      </c>
      <c r="L41" s="135">
        <f>SUM(L28:L40)</f>
        <v>619734.52148124995</v>
      </c>
      <c r="M41" s="134">
        <f>SUM(M28,M29,M31,M33,M35)</f>
        <v>789857.578125</v>
      </c>
      <c r="N41" s="135">
        <f>SUM(N28:N40)</f>
        <v>766162.10078124993</v>
      </c>
    </row>
    <row r="42" spans="1:14" s="142" customFormat="1" ht="13.5" thickBot="1">
      <c r="A42" s="137"/>
      <c r="B42" s="138"/>
      <c r="C42" s="138"/>
      <c r="D42" s="396"/>
      <c r="E42" s="138"/>
      <c r="F42" s="138"/>
      <c r="G42" s="139"/>
      <c r="H42" s="140"/>
      <c r="I42" s="139"/>
      <c r="J42" s="140"/>
      <c r="K42" s="139"/>
      <c r="L42" s="140"/>
      <c r="M42" s="139"/>
      <c r="N42" s="140"/>
    </row>
    <row r="43" spans="1:14" s="7" customFormat="1" ht="13.5" thickBot="1">
      <c r="A43" s="131" t="s">
        <v>72</v>
      </c>
      <c r="B43" s="132"/>
      <c r="C43" s="132"/>
      <c r="D43" s="395"/>
      <c r="E43" s="132"/>
      <c r="F43" s="133"/>
      <c r="G43" s="135">
        <f>G28+G37+G29+G31+G30</f>
        <v>552476.55000000005</v>
      </c>
      <c r="H43" s="143">
        <f>H28+H37</f>
        <v>509565.75</v>
      </c>
      <c r="I43" s="135">
        <f t="shared" ref="I43:N43" si="8">I28+I37+I29</f>
        <v>666070</v>
      </c>
      <c r="J43" s="135">
        <f t="shared" si="8"/>
        <v>646087.9</v>
      </c>
      <c r="K43" s="135">
        <f t="shared" si="8"/>
        <v>540868.9</v>
      </c>
      <c r="L43" s="135">
        <f t="shared" si="8"/>
        <v>524642.83299999998</v>
      </c>
      <c r="M43" s="135">
        <f t="shared" si="8"/>
        <v>624085</v>
      </c>
      <c r="N43" s="135">
        <f t="shared" si="8"/>
        <v>605362.44999999995</v>
      </c>
    </row>
    <row r="44" spans="1:14" ht="13.5" thickBot="1">
      <c r="A44" s="145"/>
      <c r="B44" s="146"/>
      <c r="C44" s="147"/>
      <c r="D44" s="146"/>
      <c r="E44" s="147"/>
      <c r="F44" s="397"/>
      <c r="G44" s="308"/>
      <c r="H44" s="475"/>
      <c r="I44" s="308"/>
      <c r="J44" s="475"/>
      <c r="K44" s="308"/>
      <c r="L44" s="475"/>
      <c r="M44" s="308"/>
      <c r="N44" s="475"/>
    </row>
    <row r="45" spans="1:14">
      <c r="A45" s="155" t="s">
        <v>73</v>
      </c>
      <c r="B45" s="156" t="s">
        <v>74</v>
      </c>
      <c r="C45" s="157"/>
      <c r="D45" s="398"/>
      <c r="E45" s="157"/>
      <c r="F45" s="399"/>
      <c r="G45" s="159" t="s">
        <v>390</v>
      </c>
      <c r="H45" s="159" t="s">
        <v>391</v>
      </c>
      <c r="I45" s="159" t="s">
        <v>391</v>
      </c>
      <c r="J45" s="159" t="s">
        <v>391</v>
      </c>
      <c r="K45" s="159" t="s">
        <v>391</v>
      </c>
      <c r="L45" s="159" t="s">
        <v>391</v>
      </c>
      <c r="M45" s="159" t="s">
        <v>392</v>
      </c>
      <c r="N45" s="159" t="s">
        <v>392</v>
      </c>
    </row>
    <row r="46" spans="1:14" ht="26.25" thickBot="1">
      <c r="A46" s="164" t="s">
        <v>79</v>
      </c>
      <c r="B46" s="165" t="s">
        <v>80</v>
      </c>
      <c r="C46" s="166"/>
      <c r="D46" s="400"/>
      <c r="E46" s="166"/>
      <c r="F46" s="401"/>
      <c r="G46" s="159" t="s">
        <v>165</v>
      </c>
      <c r="H46" s="476" t="s">
        <v>393</v>
      </c>
      <c r="I46" s="477" t="s">
        <v>329</v>
      </c>
      <c r="J46" s="476" t="s">
        <v>393</v>
      </c>
      <c r="K46" s="477" t="s">
        <v>329</v>
      </c>
      <c r="L46" s="476" t="s">
        <v>82</v>
      </c>
      <c r="M46" s="477" t="s">
        <v>329</v>
      </c>
      <c r="N46" s="476" t="s">
        <v>82</v>
      </c>
    </row>
    <row r="47" spans="1:14" ht="102">
      <c r="A47" s="173" t="s">
        <v>85</v>
      </c>
      <c r="B47" s="174" t="s">
        <v>86</v>
      </c>
      <c r="C47" s="175"/>
      <c r="D47" s="174"/>
      <c r="E47" s="175"/>
      <c r="F47" s="402"/>
      <c r="G47" s="180" t="s">
        <v>167</v>
      </c>
      <c r="H47" s="180" t="s">
        <v>394</v>
      </c>
      <c r="I47" s="180" t="s">
        <v>167</v>
      </c>
      <c r="J47" s="180" t="s">
        <v>394</v>
      </c>
      <c r="K47" s="180" t="s">
        <v>330</v>
      </c>
      <c r="L47" s="180" t="s">
        <v>395</v>
      </c>
      <c r="M47" s="180" t="s">
        <v>330</v>
      </c>
      <c r="N47" s="180" t="s">
        <v>330</v>
      </c>
    </row>
    <row r="48" spans="1:14" ht="25.5">
      <c r="A48" s="181" t="s">
        <v>90</v>
      </c>
      <c r="B48" s="175" t="s">
        <v>91</v>
      </c>
      <c r="C48" s="175"/>
      <c r="D48" s="174"/>
      <c r="E48" s="175"/>
      <c r="F48" s="402"/>
      <c r="G48" s="180" t="s">
        <v>92</v>
      </c>
      <c r="H48" s="188" t="s">
        <v>331</v>
      </c>
      <c r="I48" s="188" t="s">
        <v>331</v>
      </c>
      <c r="J48" s="188" t="s">
        <v>331</v>
      </c>
      <c r="K48" s="188" t="s">
        <v>331</v>
      </c>
      <c r="L48" s="188" t="s">
        <v>331</v>
      </c>
      <c r="M48" s="188" t="s">
        <v>331</v>
      </c>
      <c r="N48" s="188" t="s">
        <v>331</v>
      </c>
    </row>
    <row r="49" spans="1:14" ht="39.950000000000003" customHeight="1">
      <c r="A49" s="181" t="s">
        <v>93</v>
      </c>
      <c r="B49" s="174" t="s">
        <v>94</v>
      </c>
      <c r="C49" s="175"/>
      <c r="D49" s="174"/>
      <c r="E49" s="175"/>
      <c r="F49" s="402"/>
      <c r="G49" s="478"/>
      <c r="H49" s="479"/>
      <c r="I49" s="478" t="s">
        <v>332</v>
      </c>
      <c r="J49" s="479" t="s">
        <v>332</v>
      </c>
      <c r="K49" s="478" t="s">
        <v>332</v>
      </c>
      <c r="L49" s="479" t="s">
        <v>332</v>
      </c>
      <c r="M49" s="478" t="s">
        <v>332</v>
      </c>
      <c r="N49" s="479" t="s">
        <v>332</v>
      </c>
    </row>
    <row r="50" spans="1:14" ht="178.5">
      <c r="A50" s="181" t="s">
        <v>95</v>
      </c>
      <c r="B50" s="174" t="s">
        <v>96</v>
      </c>
      <c r="C50" s="175"/>
      <c r="D50" s="174"/>
      <c r="E50" s="175"/>
      <c r="F50" s="402"/>
      <c r="G50" s="180" t="s">
        <v>97</v>
      </c>
      <c r="H50" s="180" t="s">
        <v>97</v>
      </c>
      <c r="I50" s="180" t="s">
        <v>97</v>
      </c>
      <c r="J50" s="180" t="s">
        <v>98</v>
      </c>
      <c r="K50" s="180" t="s">
        <v>97</v>
      </c>
      <c r="L50" s="180" t="s">
        <v>98</v>
      </c>
      <c r="M50" s="180" t="s">
        <v>97</v>
      </c>
      <c r="N50" s="180" t="s">
        <v>98</v>
      </c>
    </row>
    <row r="51" spans="1:14" ht="77.25" thickBot="1">
      <c r="A51" s="189" t="s">
        <v>99</v>
      </c>
      <c r="B51" s="190" t="s">
        <v>100</v>
      </c>
      <c r="C51" s="191"/>
      <c r="D51" s="190"/>
      <c r="E51" s="191"/>
      <c r="F51" s="403"/>
      <c r="G51" s="477" t="s">
        <v>101</v>
      </c>
      <c r="H51" s="477" t="s">
        <v>396</v>
      </c>
      <c r="I51" s="477" t="s">
        <v>101</v>
      </c>
      <c r="J51" s="477" t="s">
        <v>101</v>
      </c>
      <c r="K51" s="477" t="s">
        <v>101</v>
      </c>
      <c r="L51" s="477" t="s">
        <v>101</v>
      </c>
      <c r="M51" s="477" t="s">
        <v>101</v>
      </c>
      <c r="N51" s="477" t="s">
        <v>101</v>
      </c>
    </row>
    <row r="52" spans="1:14" ht="30" customHeight="1">
      <c r="A52" s="1866" t="s">
        <v>102</v>
      </c>
      <c r="B52" s="1867"/>
      <c r="C52" s="1971"/>
      <c r="D52" s="405"/>
      <c r="E52" s="1858" t="s">
        <v>103</v>
      </c>
      <c r="F52" s="1859"/>
      <c r="G52" s="1859"/>
      <c r="H52" s="1859"/>
      <c r="I52" s="1966"/>
      <c r="J52" s="1858" t="s">
        <v>104</v>
      </c>
      <c r="K52" s="1859"/>
      <c r="L52" s="1859"/>
      <c r="M52" s="1859"/>
      <c r="N52" s="1966"/>
    </row>
    <row r="53" spans="1:14" ht="13.5" thickBot="1">
      <c r="A53" s="1866"/>
      <c r="B53" s="1867"/>
      <c r="C53" s="1971"/>
      <c r="D53" s="405"/>
      <c r="E53" s="1858"/>
      <c r="F53" s="1859"/>
      <c r="G53" s="1859"/>
      <c r="H53" s="1859"/>
      <c r="I53" s="1966"/>
      <c r="J53" s="1968"/>
      <c r="K53" s="1969"/>
      <c r="L53" s="1969"/>
      <c r="M53" s="1969"/>
      <c r="N53" s="1970"/>
    </row>
    <row r="54" spans="1:14">
      <c r="A54" s="149"/>
      <c r="B54" s="197"/>
      <c r="C54" s="152"/>
      <c r="D54" s="197"/>
      <c r="E54" s="152"/>
      <c r="F54" s="406"/>
      <c r="G54" s="152"/>
      <c r="H54" s="152"/>
      <c r="I54" s="152"/>
      <c r="J54" s="152"/>
      <c r="K54" s="152"/>
      <c r="L54" s="152"/>
      <c r="M54" s="152"/>
      <c r="N54" s="152"/>
    </row>
    <row r="55" spans="1:14">
      <c r="A55" s="200"/>
      <c r="B55" s="201"/>
      <c r="C55" s="202"/>
      <c r="D55" s="201"/>
      <c r="E55" s="202"/>
      <c r="F55" s="407"/>
      <c r="G55" s="202"/>
      <c r="H55" s="202"/>
      <c r="I55" s="202"/>
      <c r="J55" s="202"/>
      <c r="K55" s="202"/>
      <c r="L55" s="202"/>
      <c r="M55" s="202"/>
      <c r="N55" s="202"/>
    </row>
    <row r="56" spans="1:14">
      <c r="A56" s="200"/>
      <c r="B56" s="27" t="s">
        <v>105</v>
      </c>
      <c r="C56" s="28"/>
      <c r="D56" s="27"/>
      <c r="E56" s="28"/>
      <c r="F56" s="28" t="s">
        <v>106</v>
      </c>
      <c r="G56" s="202"/>
      <c r="H56" s="28"/>
      <c r="I56" s="28"/>
      <c r="J56" s="28"/>
      <c r="K56" s="28" t="s">
        <v>107</v>
      </c>
      <c r="L56" s="202"/>
      <c r="M56" s="28" t="s">
        <v>107</v>
      </c>
      <c r="N56" s="202"/>
    </row>
    <row r="57" spans="1:14" ht="13.5" thickBot="1">
      <c r="A57" s="205"/>
      <c r="B57" s="206"/>
      <c r="C57" s="207"/>
      <c r="D57" s="206"/>
      <c r="E57" s="207"/>
      <c r="F57" s="207"/>
      <c r="G57" s="207"/>
      <c r="H57" s="207"/>
      <c r="I57" s="207"/>
      <c r="J57" s="207"/>
      <c r="K57" s="207"/>
      <c r="L57" s="207"/>
      <c r="M57" s="207"/>
      <c r="N57" s="207"/>
    </row>
    <row r="58" spans="1:14" ht="13.5" thickBot="1"/>
    <row r="59" spans="1:14">
      <c r="B59" s="480" t="s">
        <v>373</v>
      </c>
      <c r="C59" s="221"/>
    </row>
    <row r="60" spans="1:14">
      <c r="B60" s="481" t="s">
        <v>375</v>
      </c>
      <c r="C60" s="456">
        <f>248/(1.106+0.27+0.26)</f>
        <v>151.58924205378972</v>
      </c>
    </row>
    <row r="61" spans="1:14">
      <c r="B61" s="481" t="s">
        <v>377</v>
      </c>
      <c r="C61" s="456">
        <f>181/(0.786+0.18+0.18)</f>
        <v>157.94066317626528</v>
      </c>
    </row>
    <row r="62" spans="1:14">
      <c r="B62" s="482" t="s">
        <v>397</v>
      </c>
      <c r="C62" s="483">
        <f>SUM(C17:C26)*154.75</f>
        <v>635382.60875000001</v>
      </c>
    </row>
    <row r="63" spans="1:14">
      <c r="B63" s="482" t="s">
        <v>398</v>
      </c>
      <c r="C63" s="484">
        <f>H43</f>
        <v>509565.75</v>
      </c>
    </row>
    <row r="64" spans="1:14" ht="26.25" thickBot="1">
      <c r="B64" s="485" t="s">
        <v>399</v>
      </c>
      <c r="C64" s="486">
        <f>C62-C63</f>
        <v>125816.85875000001</v>
      </c>
    </row>
  </sheetData>
  <mergeCells count="34">
    <mergeCell ref="E52:I53"/>
    <mergeCell ref="J52:N53"/>
    <mergeCell ref="A29:B29"/>
    <mergeCell ref="A31:B31"/>
    <mergeCell ref="A34:B34"/>
    <mergeCell ref="A38:B38"/>
    <mergeCell ref="A40:B40"/>
    <mergeCell ref="A52:C53"/>
    <mergeCell ref="G10:H10"/>
    <mergeCell ref="I10:J10"/>
    <mergeCell ref="K10:L10"/>
    <mergeCell ref="M10:N10"/>
    <mergeCell ref="Q10:R10"/>
    <mergeCell ref="M7:N7"/>
    <mergeCell ref="G8:H9"/>
    <mergeCell ref="I8:J9"/>
    <mergeCell ref="K8:L9"/>
    <mergeCell ref="M8:N9"/>
    <mergeCell ref="A2:N2"/>
    <mergeCell ref="A3:N3"/>
    <mergeCell ref="F4:F5"/>
    <mergeCell ref="G4:H5"/>
    <mergeCell ref="A7:A12"/>
    <mergeCell ref="B7:B12"/>
    <mergeCell ref="C7:C12"/>
    <mergeCell ref="E7:E12"/>
    <mergeCell ref="F7:F12"/>
    <mergeCell ref="G7:H7"/>
    <mergeCell ref="G11:H11"/>
    <mergeCell ref="I11:J11"/>
    <mergeCell ref="K11:L11"/>
    <mergeCell ref="M11:N11"/>
    <mergeCell ref="I7:J7"/>
    <mergeCell ref="K7:L7"/>
  </mergeCells>
  <pageMargins left="0.25" right="0.25" top="0.75" bottom="0.75" header="0.3" footer="0.3"/>
  <pageSetup scale="5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9"/>
  <sheetViews>
    <sheetView topLeftCell="A90" zoomScaleNormal="100" workbookViewId="0">
      <selection activeCell="H109" sqref="H109"/>
    </sheetView>
  </sheetViews>
  <sheetFormatPr defaultRowHeight="15"/>
  <cols>
    <col min="1" max="1" width="4.5703125" style="501" bestFit="1" customWidth="1"/>
    <col min="2" max="2" width="11" style="501" bestFit="1" customWidth="1"/>
    <col min="3" max="3" width="6" style="501" bestFit="1" customWidth="1"/>
    <col min="4" max="4" width="8.42578125" style="501" bestFit="1" customWidth="1"/>
    <col min="5" max="5" width="44.5703125" style="501" bestFit="1" customWidth="1"/>
    <col min="6" max="6" width="8.7109375" style="501" bestFit="1" customWidth="1"/>
    <col min="7" max="7" width="4.85546875" style="526" bestFit="1" customWidth="1"/>
    <col min="8" max="12" width="18" style="501" customWidth="1"/>
    <col min="13" max="13" width="44.5703125" style="501" customWidth="1"/>
    <col min="14" max="14" width="10.28515625" style="501" bestFit="1" customWidth="1"/>
    <col min="15" max="15" width="9.42578125" style="501" bestFit="1" customWidth="1"/>
    <col min="16" max="16" width="4.140625" style="501" bestFit="1" customWidth="1"/>
    <col min="17" max="17" width="2.42578125" style="501" bestFit="1" customWidth="1"/>
    <col min="18" max="18" width="2.28515625" style="501" bestFit="1" customWidth="1"/>
    <col min="19" max="19" width="10.7109375" style="501" bestFit="1" customWidth="1"/>
    <col min="20" max="20" width="3.85546875" style="501" bestFit="1" customWidth="1"/>
    <col min="21" max="21" width="11" style="501" bestFit="1" customWidth="1"/>
    <col min="22" max="23" width="10.7109375" style="501" bestFit="1" customWidth="1"/>
    <col min="24" max="24" width="11.7109375" style="501" bestFit="1" customWidth="1"/>
    <col min="25" max="16384" width="9.140625" style="501"/>
  </cols>
  <sheetData>
    <row r="1" spans="1:24" s="487" customFormat="1" ht="30">
      <c r="A1" s="487" t="s">
        <v>402</v>
      </c>
      <c r="B1" s="487" t="s">
        <v>403</v>
      </c>
      <c r="C1" s="487" t="s">
        <v>4</v>
      </c>
      <c r="D1" s="487" t="s">
        <v>404</v>
      </c>
      <c r="E1" s="487" t="s">
        <v>405</v>
      </c>
      <c r="F1" s="488" t="s">
        <v>406</v>
      </c>
      <c r="G1" s="489" t="s">
        <v>407</v>
      </c>
      <c r="H1" s="487" t="s">
        <v>408</v>
      </c>
      <c r="I1" s="490" t="s">
        <v>409</v>
      </c>
      <c r="J1" s="491" t="s">
        <v>410</v>
      </c>
      <c r="K1" s="491" t="s">
        <v>411</v>
      </c>
      <c r="L1" s="491" t="s">
        <v>412</v>
      </c>
      <c r="N1" s="487" t="s">
        <v>413</v>
      </c>
      <c r="O1" s="487" t="s">
        <v>414</v>
      </c>
      <c r="P1" s="487" t="s">
        <v>415</v>
      </c>
      <c r="Q1" s="487" t="s">
        <v>416</v>
      </c>
      <c r="R1" s="487" t="s">
        <v>90</v>
      </c>
      <c r="S1" s="488" t="s">
        <v>417</v>
      </c>
      <c r="T1" s="487" t="s">
        <v>418</v>
      </c>
      <c r="U1" s="487" t="s">
        <v>419</v>
      </c>
      <c r="V1" s="488" t="s">
        <v>420</v>
      </c>
      <c r="W1" s="488" t="s">
        <v>421</v>
      </c>
      <c r="X1" s="488" t="s">
        <v>422</v>
      </c>
    </row>
    <row r="2" spans="1:24" ht="90">
      <c r="A2" s="492" t="s">
        <v>423</v>
      </c>
      <c r="B2" s="353">
        <v>1100017608</v>
      </c>
      <c r="C2" s="353">
        <v>10</v>
      </c>
      <c r="D2" s="492" t="s">
        <v>424</v>
      </c>
      <c r="E2" s="492" t="s">
        <v>425</v>
      </c>
      <c r="F2" s="493">
        <v>12</v>
      </c>
      <c r="G2" s="494" t="s">
        <v>192</v>
      </c>
      <c r="H2" s="495">
        <v>1220</v>
      </c>
      <c r="I2" s="496">
        <f t="shared" ref="I2:I35" si="0">H2*0.4</f>
        <v>488</v>
      </c>
      <c r="J2" s="495">
        <v>550</v>
      </c>
      <c r="K2" s="487" t="s">
        <v>426</v>
      </c>
      <c r="L2" s="497">
        <f>1-(J2/I2)</f>
        <v>-0.12704918032786883</v>
      </c>
      <c r="M2" s="498" t="s">
        <v>427</v>
      </c>
      <c r="N2" s="492" t="s">
        <v>428</v>
      </c>
      <c r="O2" s="492" t="s">
        <v>429</v>
      </c>
      <c r="P2" s="492" t="s">
        <v>430</v>
      </c>
      <c r="Q2" s="492" t="s">
        <v>431</v>
      </c>
      <c r="R2" s="492" t="s">
        <v>432</v>
      </c>
      <c r="S2" s="499">
        <v>42222</v>
      </c>
      <c r="T2" s="492" t="s">
        <v>433</v>
      </c>
      <c r="U2" s="492" t="s">
        <v>432</v>
      </c>
      <c r="V2" s="499"/>
      <c r="W2" s="499">
        <v>42247</v>
      </c>
      <c r="X2" s="500">
        <v>5966.52</v>
      </c>
    </row>
    <row r="3" spans="1:24" ht="75">
      <c r="A3" s="492" t="s">
        <v>423</v>
      </c>
      <c r="B3" s="353">
        <v>1100017608</v>
      </c>
      <c r="C3" s="353">
        <v>20</v>
      </c>
      <c r="D3" s="492" t="s">
        <v>434</v>
      </c>
      <c r="E3" s="492" t="s">
        <v>435</v>
      </c>
      <c r="F3" s="493">
        <v>12</v>
      </c>
      <c r="G3" s="494" t="s">
        <v>192</v>
      </c>
      <c r="H3" s="495">
        <v>1030</v>
      </c>
      <c r="I3" s="496">
        <f t="shared" si="0"/>
        <v>412</v>
      </c>
      <c r="J3" s="495">
        <v>470</v>
      </c>
      <c r="K3" s="487" t="s">
        <v>426</v>
      </c>
      <c r="L3" s="497">
        <f>1-(J3/I3)</f>
        <v>-0.14077669902912615</v>
      </c>
      <c r="M3" s="498" t="s">
        <v>436</v>
      </c>
      <c r="N3" s="492" t="s">
        <v>428</v>
      </c>
      <c r="O3" s="492" t="s">
        <v>429</v>
      </c>
      <c r="P3" s="492" t="s">
        <v>430</v>
      </c>
      <c r="Q3" s="492" t="s">
        <v>431</v>
      </c>
      <c r="R3" s="492" t="s">
        <v>432</v>
      </c>
      <c r="S3" s="499">
        <v>42222</v>
      </c>
      <c r="T3" s="492" t="s">
        <v>433</v>
      </c>
      <c r="U3" s="492" t="s">
        <v>432</v>
      </c>
      <c r="V3" s="499"/>
      <c r="W3" s="499">
        <v>42247</v>
      </c>
      <c r="X3" s="500">
        <v>4371.96</v>
      </c>
    </row>
    <row r="4" spans="1:24" ht="75">
      <c r="A4" s="492" t="s">
        <v>423</v>
      </c>
      <c r="B4" s="353">
        <v>1100017608</v>
      </c>
      <c r="C4" s="353">
        <v>30</v>
      </c>
      <c r="D4" s="492" t="s">
        <v>437</v>
      </c>
      <c r="E4" s="492" t="s">
        <v>438</v>
      </c>
      <c r="F4" s="493">
        <v>1</v>
      </c>
      <c r="G4" s="494" t="s">
        <v>192</v>
      </c>
      <c r="H4" s="495">
        <v>38010</v>
      </c>
      <c r="I4" s="496">
        <f t="shared" si="0"/>
        <v>15204</v>
      </c>
      <c r="J4" s="495">
        <v>17275</v>
      </c>
      <c r="K4" s="495"/>
      <c r="L4" s="497">
        <f t="shared" ref="L4:L34" si="1">1-(J4/I4)</f>
        <v>-0.1362141541699553</v>
      </c>
      <c r="M4" s="498" t="s">
        <v>436</v>
      </c>
      <c r="N4" s="492" t="s">
        <v>428</v>
      </c>
      <c r="O4" s="492" t="s">
        <v>429</v>
      </c>
      <c r="P4" s="492" t="s">
        <v>430</v>
      </c>
      <c r="Q4" s="492" t="s">
        <v>431</v>
      </c>
      <c r="R4" s="492" t="s">
        <v>432</v>
      </c>
      <c r="S4" s="499">
        <v>42222</v>
      </c>
      <c r="T4" s="492" t="s">
        <v>433</v>
      </c>
      <c r="U4" s="492" t="s">
        <v>432</v>
      </c>
      <c r="V4" s="499"/>
      <c r="W4" s="499">
        <v>42247</v>
      </c>
      <c r="X4" s="500">
        <v>12792.43</v>
      </c>
    </row>
    <row r="5" spans="1:24">
      <c r="A5" s="492" t="s">
        <v>423</v>
      </c>
      <c r="B5" s="353">
        <v>1100017608</v>
      </c>
      <c r="C5" s="353">
        <v>40</v>
      </c>
      <c r="D5" s="492" t="s">
        <v>439</v>
      </c>
      <c r="E5" s="492" t="s">
        <v>440</v>
      </c>
      <c r="F5" s="493">
        <v>12</v>
      </c>
      <c r="G5" s="494" t="s">
        <v>192</v>
      </c>
      <c r="H5" s="495">
        <v>1030</v>
      </c>
      <c r="I5" s="496">
        <f t="shared" si="0"/>
        <v>412</v>
      </c>
      <c r="J5" s="495">
        <v>470</v>
      </c>
      <c r="K5" s="495"/>
      <c r="L5" s="497">
        <f t="shared" si="1"/>
        <v>-0.14077669902912615</v>
      </c>
      <c r="M5" s="492" t="s">
        <v>441</v>
      </c>
      <c r="N5" s="492" t="s">
        <v>428</v>
      </c>
      <c r="O5" s="492" t="s">
        <v>429</v>
      </c>
      <c r="P5" s="492" t="s">
        <v>430</v>
      </c>
      <c r="Q5" s="492" t="s">
        <v>431</v>
      </c>
      <c r="R5" s="492" t="s">
        <v>432</v>
      </c>
      <c r="S5" s="499">
        <v>42222</v>
      </c>
      <c r="T5" s="492" t="s">
        <v>433</v>
      </c>
      <c r="U5" s="492" t="s">
        <v>432</v>
      </c>
      <c r="V5" s="499"/>
      <c r="W5" s="499">
        <v>42247</v>
      </c>
      <c r="X5" s="500">
        <v>4852.8</v>
      </c>
    </row>
    <row r="6" spans="1:24">
      <c r="A6" s="492" t="s">
        <v>423</v>
      </c>
      <c r="B6" s="353">
        <v>1100017608</v>
      </c>
      <c r="C6" s="353">
        <v>50</v>
      </c>
      <c r="D6" s="492" t="s">
        <v>442</v>
      </c>
      <c r="E6" s="492" t="s">
        <v>443</v>
      </c>
      <c r="F6" s="493">
        <v>12</v>
      </c>
      <c r="G6" s="494" t="s">
        <v>192</v>
      </c>
      <c r="H6" s="495">
        <v>1460</v>
      </c>
      <c r="I6" s="496">
        <f t="shared" si="0"/>
        <v>584</v>
      </c>
      <c r="J6" s="495">
        <v>665</v>
      </c>
      <c r="K6" s="495"/>
      <c r="L6" s="497">
        <f t="shared" si="1"/>
        <v>-0.13869863013698636</v>
      </c>
      <c r="M6" s="492" t="s">
        <v>441</v>
      </c>
      <c r="N6" s="492" t="s">
        <v>428</v>
      </c>
      <c r="O6" s="492" t="s">
        <v>429</v>
      </c>
      <c r="P6" s="492" t="s">
        <v>430</v>
      </c>
      <c r="Q6" s="492" t="s">
        <v>431</v>
      </c>
      <c r="R6" s="492" t="s">
        <v>432</v>
      </c>
      <c r="S6" s="499">
        <v>42222</v>
      </c>
      <c r="T6" s="492" t="s">
        <v>433</v>
      </c>
      <c r="U6" s="492" t="s">
        <v>432</v>
      </c>
      <c r="V6" s="499"/>
      <c r="W6" s="499">
        <v>42247</v>
      </c>
      <c r="X6" s="500">
        <v>7574.88</v>
      </c>
    </row>
    <row r="7" spans="1:24">
      <c r="A7" s="492" t="s">
        <v>423</v>
      </c>
      <c r="B7" s="353">
        <v>1100017608</v>
      </c>
      <c r="C7" s="353">
        <v>60</v>
      </c>
      <c r="D7" s="492" t="s">
        <v>444</v>
      </c>
      <c r="E7" s="492" t="s">
        <v>445</v>
      </c>
      <c r="F7" s="493">
        <v>2</v>
      </c>
      <c r="G7" s="494" t="s">
        <v>192</v>
      </c>
      <c r="H7" s="495">
        <v>20560</v>
      </c>
      <c r="I7" s="496">
        <f t="shared" si="0"/>
        <v>8224</v>
      </c>
      <c r="J7" s="495">
        <v>8224</v>
      </c>
      <c r="K7" s="495"/>
      <c r="L7" s="497"/>
      <c r="M7" s="492" t="s">
        <v>441</v>
      </c>
      <c r="N7" s="492" t="s">
        <v>428</v>
      </c>
      <c r="O7" s="492" t="s">
        <v>429</v>
      </c>
      <c r="P7" s="492" t="s">
        <v>430</v>
      </c>
      <c r="Q7" s="492" t="s">
        <v>431</v>
      </c>
      <c r="R7" s="492" t="s">
        <v>432</v>
      </c>
      <c r="S7" s="499">
        <v>42222</v>
      </c>
      <c r="T7" s="492" t="s">
        <v>433</v>
      </c>
      <c r="U7" s="492" t="s">
        <v>432</v>
      </c>
      <c r="V7" s="499"/>
      <c r="W7" s="499">
        <v>42247</v>
      </c>
      <c r="X7" s="500">
        <v>4743.08</v>
      </c>
    </row>
    <row r="8" spans="1:24">
      <c r="A8" s="492" t="s">
        <v>423</v>
      </c>
      <c r="B8" s="353">
        <v>1100017608</v>
      </c>
      <c r="C8" s="353">
        <v>70</v>
      </c>
      <c r="D8" s="492" t="s">
        <v>446</v>
      </c>
      <c r="E8" s="492" t="s">
        <v>447</v>
      </c>
      <c r="F8" s="493">
        <v>2</v>
      </c>
      <c r="G8" s="494" t="s">
        <v>192</v>
      </c>
      <c r="H8" s="495">
        <v>28620</v>
      </c>
      <c r="I8" s="496">
        <f t="shared" si="0"/>
        <v>11448</v>
      </c>
      <c r="J8" s="495">
        <v>11448</v>
      </c>
      <c r="K8" s="495"/>
      <c r="L8" s="497"/>
      <c r="M8" s="492" t="s">
        <v>448</v>
      </c>
      <c r="N8" s="492" t="s">
        <v>428</v>
      </c>
      <c r="O8" s="492" t="s">
        <v>429</v>
      </c>
      <c r="P8" s="492" t="s">
        <v>430</v>
      </c>
      <c r="Q8" s="492" t="s">
        <v>431</v>
      </c>
      <c r="R8" s="492" t="s">
        <v>432</v>
      </c>
      <c r="S8" s="499">
        <v>42222</v>
      </c>
      <c r="T8" s="492" t="s">
        <v>433</v>
      </c>
      <c r="U8" s="492" t="s">
        <v>432</v>
      </c>
      <c r="V8" s="499"/>
      <c r="W8" s="499">
        <v>42247</v>
      </c>
      <c r="X8" s="500">
        <v>26370.22</v>
      </c>
    </row>
    <row r="9" spans="1:24">
      <c r="A9" s="492" t="s">
        <v>423</v>
      </c>
      <c r="B9" s="353">
        <v>1100017608</v>
      </c>
      <c r="C9" s="353">
        <v>80</v>
      </c>
      <c r="D9" s="492" t="s">
        <v>449</v>
      </c>
      <c r="E9" s="492" t="s">
        <v>450</v>
      </c>
      <c r="F9" s="493">
        <v>12</v>
      </c>
      <c r="G9" s="494" t="s">
        <v>192</v>
      </c>
      <c r="H9" s="495">
        <v>1420</v>
      </c>
      <c r="I9" s="496">
        <f t="shared" si="0"/>
        <v>568</v>
      </c>
      <c r="J9" s="495">
        <v>645</v>
      </c>
      <c r="K9" s="495"/>
      <c r="L9" s="497">
        <f t="shared" si="1"/>
        <v>-0.13556338028169024</v>
      </c>
      <c r="M9" s="492" t="s">
        <v>448</v>
      </c>
      <c r="N9" s="492" t="s">
        <v>428</v>
      </c>
      <c r="O9" s="492" t="s">
        <v>429</v>
      </c>
      <c r="P9" s="492" t="s">
        <v>430</v>
      </c>
      <c r="Q9" s="492" t="s">
        <v>431</v>
      </c>
      <c r="R9" s="492" t="s">
        <v>432</v>
      </c>
      <c r="S9" s="499">
        <v>42222</v>
      </c>
      <c r="T9" s="492" t="s">
        <v>433</v>
      </c>
      <c r="U9" s="492" t="s">
        <v>432</v>
      </c>
      <c r="V9" s="499"/>
      <c r="W9" s="499">
        <v>42247</v>
      </c>
      <c r="X9" s="500">
        <v>7030.08</v>
      </c>
    </row>
    <row r="10" spans="1:24">
      <c r="A10" s="492" t="s">
        <v>423</v>
      </c>
      <c r="B10" s="353">
        <v>1100017608</v>
      </c>
      <c r="C10" s="353">
        <v>90</v>
      </c>
      <c r="D10" s="492" t="s">
        <v>451</v>
      </c>
      <c r="E10" s="492" t="s">
        <v>452</v>
      </c>
      <c r="F10" s="493">
        <v>12</v>
      </c>
      <c r="G10" s="494" t="s">
        <v>192</v>
      </c>
      <c r="H10" s="495">
        <v>910</v>
      </c>
      <c r="I10" s="496">
        <f t="shared" si="0"/>
        <v>364</v>
      </c>
      <c r="J10" s="495">
        <v>415</v>
      </c>
      <c r="K10" s="495"/>
      <c r="L10" s="497">
        <f t="shared" si="1"/>
        <v>-0.14010989010989006</v>
      </c>
      <c r="M10" s="492" t="s">
        <v>448</v>
      </c>
      <c r="N10" s="492" t="s">
        <v>428</v>
      </c>
      <c r="O10" s="492" t="s">
        <v>429</v>
      </c>
      <c r="P10" s="492" t="s">
        <v>430</v>
      </c>
      <c r="Q10" s="492" t="s">
        <v>431</v>
      </c>
      <c r="R10" s="492" t="s">
        <v>432</v>
      </c>
      <c r="S10" s="499">
        <v>42222</v>
      </c>
      <c r="T10" s="492" t="s">
        <v>433</v>
      </c>
      <c r="U10" s="492" t="s">
        <v>432</v>
      </c>
      <c r="V10" s="499"/>
      <c r="W10" s="499">
        <v>42247</v>
      </c>
      <c r="X10" s="500">
        <v>4812.84</v>
      </c>
    </row>
    <row r="11" spans="1:24">
      <c r="A11" s="492" t="s">
        <v>423</v>
      </c>
      <c r="B11" s="353">
        <v>1100017608</v>
      </c>
      <c r="C11" s="353">
        <v>100</v>
      </c>
      <c r="D11" s="492" t="s">
        <v>453</v>
      </c>
      <c r="E11" s="492" t="s">
        <v>454</v>
      </c>
      <c r="F11" s="493">
        <v>12</v>
      </c>
      <c r="G11" s="494" t="s">
        <v>192</v>
      </c>
      <c r="H11" s="495">
        <v>1110</v>
      </c>
      <c r="I11" s="496">
        <f t="shared" si="0"/>
        <v>444</v>
      </c>
      <c r="J11" s="495">
        <v>555</v>
      </c>
      <c r="K11" s="495"/>
      <c r="L11" s="497">
        <f t="shared" si="1"/>
        <v>-0.25</v>
      </c>
      <c r="M11" s="492" t="s">
        <v>455</v>
      </c>
      <c r="N11" s="492" t="s">
        <v>428</v>
      </c>
      <c r="O11" s="492" t="s">
        <v>429</v>
      </c>
      <c r="P11" s="492" t="s">
        <v>430</v>
      </c>
      <c r="Q11" s="492" t="s">
        <v>431</v>
      </c>
      <c r="R11" s="492" t="s">
        <v>432</v>
      </c>
      <c r="S11" s="499">
        <v>42222</v>
      </c>
      <c r="T11" s="492" t="s">
        <v>433</v>
      </c>
      <c r="U11" s="492" t="s">
        <v>432</v>
      </c>
      <c r="V11" s="499"/>
      <c r="W11" s="499">
        <v>42247</v>
      </c>
      <c r="X11" s="500">
        <v>6401.28</v>
      </c>
    </row>
    <row r="12" spans="1:24">
      <c r="A12" s="492" t="s">
        <v>423</v>
      </c>
      <c r="B12" s="353">
        <v>1100017608</v>
      </c>
      <c r="C12" s="353">
        <v>110</v>
      </c>
      <c r="D12" s="492" t="s">
        <v>456</v>
      </c>
      <c r="E12" s="492" t="s">
        <v>457</v>
      </c>
      <c r="F12" s="493">
        <v>12</v>
      </c>
      <c r="G12" s="494" t="s">
        <v>192</v>
      </c>
      <c r="H12" s="495">
        <v>900</v>
      </c>
      <c r="I12" s="496">
        <f t="shared" si="0"/>
        <v>360</v>
      </c>
      <c r="J12" s="495">
        <v>410</v>
      </c>
      <c r="K12" s="495"/>
      <c r="L12" s="497">
        <f t="shared" si="1"/>
        <v>-0.13888888888888884</v>
      </c>
      <c r="M12" s="492" t="s">
        <v>455</v>
      </c>
      <c r="N12" s="492" t="s">
        <v>428</v>
      </c>
      <c r="O12" s="492" t="s">
        <v>429</v>
      </c>
      <c r="P12" s="492" t="s">
        <v>430</v>
      </c>
      <c r="Q12" s="492" t="s">
        <v>431</v>
      </c>
      <c r="R12" s="492" t="s">
        <v>432</v>
      </c>
      <c r="S12" s="499">
        <v>42222</v>
      </c>
      <c r="T12" s="492" t="s">
        <v>433</v>
      </c>
      <c r="U12" s="492" t="s">
        <v>432</v>
      </c>
      <c r="V12" s="499"/>
      <c r="W12" s="499">
        <v>42247</v>
      </c>
      <c r="X12" s="500">
        <v>4657.2</v>
      </c>
    </row>
    <row r="13" spans="1:24">
      <c r="A13" s="492" t="s">
        <v>423</v>
      </c>
      <c r="B13" s="353">
        <v>1100017608</v>
      </c>
      <c r="C13" s="353">
        <v>120</v>
      </c>
      <c r="D13" s="492" t="s">
        <v>458</v>
      </c>
      <c r="E13" s="492" t="s">
        <v>459</v>
      </c>
      <c r="F13" s="493">
        <v>12</v>
      </c>
      <c r="G13" s="494" t="s">
        <v>192</v>
      </c>
      <c r="H13" s="495">
        <v>1050</v>
      </c>
      <c r="I13" s="496">
        <f t="shared" si="0"/>
        <v>420</v>
      </c>
      <c r="J13" s="495">
        <v>475</v>
      </c>
      <c r="K13" s="495"/>
      <c r="L13" s="497">
        <f t="shared" si="1"/>
        <v>-0.13095238095238093</v>
      </c>
      <c r="M13" s="492" t="s">
        <v>460</v>
      </c>
      <c r="N13" s="492" t="s">
        <v>428</v>
      </c>
      <c r="O13" s="492" t="s">
        <v>429</v>
      </c>
      <c r="P13" s="492" t="s">
        <v>430</v>
      </c>
      <c r="Q13" s="492" t="s">
        <v>431</v>
      </c>
      <c r="R13" s="492" t="s">
        <v>432</v>
      </c>
      <c r="S13" s="499">
        <v>42222</v>
      </c>
      <c r="T13" s="492" t="s">
        <v>433</v>
      </c>
      <c r="U13" s="492" t="s">
        <v>432</v>
      </c>
      <c r="V13" s="499"/>
      <c r="W13" s="499">
        <v>42247</v>
      </c>
      <c r="X13" s="500">
        <v>5578.92</v>
      </c>
    </row>
    <row r="14" spans="1:24">
      <c r="A14" s="492" t="s">
        <v>423</v>
      </c>
      <c r="B14" s="353">
        <v>1100017608</v>
      </c>
      <c r="C14" s="353">
        <v>130</v>
      </c>
      <c r="D14" s="492" t="s">
        <v>461</v>
      </c>
      <c r="E14" s="492" t="s">
        <v>462</v>
      </c>
      <c r="F14" s="493">
        <v>12</v>
      </c>
      <c r="G14" s="494" t="s">
        <v>192</v>
      </c>
      <c r="H14" s="495">
        <v>910</v>
      </c>
      <c r="I14" s="496">
        <f t="shared" si="0"/>
        <v>364</v>
      </c>
      <c r="J14" s="495">
        <v>415</v>
      </c>
      <c r="K14" s="495"/>
      <c r="L14" s="497">
        <f t="shared" si="1"/>
        <v>-0.14010989010989006</v>
      </c>
      <c r="M14" s="492" t="s">
        <v>460</v>
      </c>
      <c r="N14" s="492" t="s">
        <v>428</v>
      </c>
      <c r="O14" s="492" t="s">
        <v>429</v>
      </c>
      <c r="P14" s="492" t="s">
        <v>430</v>
      </c>
      <c r="Q14" s="492" t="s">
        <v>431</v>
      </c>
      <c r="R14" s="492" t="s">
        <v>432</v>
      </c>
      <c r="S14" s="499">
        <v>42222</v>
      </c>
      <c r="T14" s="492" t="s">
        <v>433</v>
      </c>
      <c r="U14" s="492" t="s">
        <v>432</v>
      </c>
      <c r="V14" s="499"/>
      <c r="W14" s="499">
        <v>42247</v>
      </c>
      <c r="X14" s="500">
        <v>4864.8</v>
      </c>
    </row>
    <row r="15" spans="1:24">
      <c r="A15" s="492" t="s">
        <v>423</v>
      </c>
      <c r="B15" s="353">
        <v>1100017608</v>
      </c>
      <c r="C15" s="353">
        <v>140</v>
      </c>
      <c r="D15" s="492" t="s">
        <v>463</v>
      </c>
      <c r="E15" s="492" t="s">
        <v>464</v>
      </c>
      <c r="F15" s="493">
        <v>1</v>
      </c>
      <c r="G15" s="494" t="s">
        <v>192</v>
      </c>
      <c r="H15" s="495">
        <v>16430</v>
      </c>
      <c r="I15" s="496">
        <f t="shared" si="0"/>
        <v>6572</v>
      </c>
      <c r="J15" s="495">
        <v>5845</v>
      </c>
      <c r="K15" s="495"/>
      <c r="L15" s="497">
        <f t="shared" si="1"/>
        <v>0.11062081558125381</v>
      </c>
      <c r="M15" s="492" t="s">
        <v>460</v>
      </c>
      <c r="N15" s="492" t="s">
        <v>428</v>
      </c>
      <c r="O15" s="492" t="s">
        <v>429</v>
      </c>
      <c r="P15" s="492" t="s">
        <v>430</v>
      </c>
      <c r="Q15" s="492" t="s">
        <v>431</v>
      </c>
      <c r="R15" s="492" t="s">
        <v>432</v>
      </c>
      <c r="S15" s="499">
        <v>42222</v>
      </c>
      <c r="T15" s="492" t="s">
        <v>433</v>
      </c>
      <c r="U15" s="492" t="s">
        <v>432</v>
      </c>
      <c r="V15" s="499"/>
      <c r="W15" s="499">
        <v>42247</v>
      </c>
      <c r="X15" s="500">
        <v>5612.57</v>
      </c>
    </row>
    <row r="16" spans="1:24">
      <c r="A16" s="492" t="s">
        <v>423</v>
      </c>
      <c r="B16" s="353">
        <v>1100017608</v>
      </c>
      <c r="C16" s="353">
        <v>150</v>
      </c>
      <c r="D16" s="492" t="s">
        <v>465</v>
      </c>
      <c r="E16" s="492" t="s">
        <v>466</v>
      </c>
      <c r="F16" s="493">
        <v>6</v>
      </c>
      <c r="G16" s="494" t="s">
        <v>192</v>
      </c>
      <c r="H16" s="495">
        <v>8700</v>
      </c>
      <c r="I16" s="496">
        <f t="shared" si="0"/>
        <v>3480</v>
      </c>
      <c r="J16" s="495">
        <v>4530</v>
      </c>
      <c r="K16" s="495"/>
      <c r="L16" s="497">
        <f t="shared" si="1"/>
        <v>-0.30172413793103448</v>
      </c>
      <c r="M16" s="492" t="s">
        <v>460</v>
      </c>
      <c r="N16" s="492" t="s">
        <v>428</v>
      </c>
      <c r="O16" s="492" t="s">
        <v>429</v>
      </c>
      <c r="P16" s="492" t="s">
        <v>430</v>
      </c>
      <c r="Q16" s="492" t="s">
        <v>431</v>
      </c>
      <c r="R16" s="492" t="s">
        <v>432</v>
      </c>
      <c r="S16" s="499">
        <v>42222</v>
      </c>
      <c r="T16" s="492" t="s">
        <v>433</v>
      </c>
      <c r="U16" s="492" t="s">
        <v>432</v>
      </c>
      <c r="V16" s="499"/>
      <c r="W16" s="499">
        <v>42247</v>
      </c>
      <c r="X16" s="500">
        <v>7436.04</v>
      </c>
    </row>
    <row r="17" spans="1:24">
      <c r="A17" s="492" t="s">
        <v>423</v>
      </c>
      <c r="B17" s="353">
        <v>1100017608</v>
      </c>
      <c r="C17" s="353">
        <v>160</v>
      </c>
      <c r="D17" s="492" t="s">
        <v>467</v>
      </c>
      <c r="E17" s="492" t="s">
        <v>468</v>
      </c>
      <c r="F17" s="493">
        <v>12</v>
      </c>
      <c r="G17" s="494" t="s">
        <v>192</v>
      </c>
      <c r="H17" s="495">
        <v>1000</v>
      </c>
      <c r="I17" s="496">
        <f t="shared" si="0"/>
        <v>400</v>
      </c>
      <c r="J17" s="495">
        <v>455</v>
      </c>
      <c r="K17" s="495"/>
      <c r="L17" s="497">
        <f t="shared" si="1"/>
        <v>-0.13749999999999996</v>
      </c>
      <c r="M17" s="492" t="s">
        <v>460</v>
      </c>
      <c r="N17" s="492" t="s">
        <v>428</v>
      </c>
      <c r="O17" s="492" t="s">
        <v>429</v>
      </c>
      <c r="P17" s="492" t="s">
        <v>430</v>
      </c>
      <c r="Q17" s="492" t="s">
        <v>431</v>
      </c>
      <c r="R17" s="492" t="s">
        <v>432</v>
      </c>
      <c r="S17" s="499">
        <v>42222</v>
      </c>
      <c r="T17" s="492" t="s">
        <v>433</v>
      </c>
      <c r="U17" s="492" t="s">
        <v>432</v>
      </c>
      <c r="V17" s="499"/>
      <c r="W17" s="499">
        <v>42247</v>
      </c>
      <c r="X17" s="500">
        <v>4508.28</v>
      </c>
    </row>
    <row r="18" spans="1:24">
      <c r="A18" s="492" t="s">
        <v>423</v>
      </c>
      <c r="B18" s="353">
        <v>1100017608</v>
      </c>
      <c r="C18" s="353">
        <v>170</v>
      </c>
      <c r="D18" s="492" t="s">
        <v>469</v>
      </c>
      <c r="E18" s="492" t="s">
        <v>470</v>
      </c>
      <c r="F18" s="493">
        <v>12</v>
      </c>
      <c r="G18" s="494" t="s">
        <v>192</v>
      </c>
      <c r="H18" s="495">
        <v>1420</v>
      </c>
      <c r="I18" s="496">
        <f t="shared" si="0"/>
        <v>568</v>
      </c>
      <c r="J18" s="495">
        <v>595</v>
      </c>
      <c r="K18" s="487" t="s">
        <v>426</v>
      </c>
      <c r="L18" s="497">
        <f t="shared" si="1"/>
        <v>-4.7535211267605737E-2</v>
      </c>
      <c r="M18" s="492" t="s">
        <v>460</v>
      </c>
      <c r="N18" s="492" t="s">
        <v>428</v>
      </c>
      <c r="O18" s="492" t="s">
        <v>429</v>
      </c>
      <c r="P18" s="492" t="s">
        <v>430</v>
      </c>
      <c r="Q18" s="492" t="s">
        <v>431</v>
      </c>
      <c r="R18" s="492" t="s">
        <v>432</v>
      </c>
      <c r="S18" s="499">
        <v>42222</v>
      </c>
      <c r="T18" s="492" t="s">
        <v>433</v>
      </c>
      <c r="U18" s="492" t="s">
        <v>432</v>
      </c>
      <c r="V18" s="499"/>
      <c r="W18" s="499">
        <v>42247</v>
      </c>
      <c r="X18" s="500">
        <v>7301.4</v>
      </c>
    </row>
    <row r="19" spans="1:24">
      <c r="A19" s="492" t="s">
        <v>423</v>
      </c>
      <c r="B19" s="353">
        <v>1100017608</v>
      </c>
      <c r="C19" s="353">
        <v>180</v>
      </c>
      <c r="D19" s="492" t="s">
        <v>471</v>
      </c>
      <c r="E19" s="492" t="s">
        <v>472</v>
      </c>
      <c r="F19" s="493">
        <v>2</v>
      </c>
      <c r="G19" s="494" t="s">
        <v>192</v>
      </c>
      <c r="H19" s="495">
        <v>12560</v>
      </c>
      <c r="I19" s="496">
        <f t="shared" si="0"/>
        <v>5024</v>
      </c>
      <c r="J19" s="495">
        <v>5024</v>
      </c>
      <c r="K19" s="487" t="s">
        <v>426</v>
      </c>
      <c r="L19" s="497"/>
      <c r="M19" s="492" t="s">
        <v>460</v>
      </c>
      <c r="N19" s="492" t="s">
        <v>428</v>
      </c>
      <c r="O19" s="492" t="s">
        <v>429</v>
      </c>
      <c r="P19" s="492" t="s">
        <v>430</v>
      </c>
      <c r="Q19" s="492" t="s">
        <v>431</v>
      </c>
      <c r="R19" s="492" t="s">
        <v>432</v>
      </c>
      <c r="S19" s="499">
        <v>42222</v>
      </c>
      <c r="T19" s="492" t="s">
        <v>433</v>
      </c>
      <c r="U19" s="492" t="s">
        <v>432</v>
      </c>
      <c r="V19" s="499"/>
      <c r="W19" s="499">
        <v>42247</v>
      </c>
      <c r="X19" s="500">
        <v>7664.34</v>
      </c>
    </row>
    <row r="20" spans="1:24">
      <c r="A20" s="492" t="s">
        <v>423</v>
      </c>
      <c r="B20" s="353">
        <v>1100017608</v>
      </c>
      <c r="C20" s="353">
        <v>190</v>
      </c>
      <c r="D20" s="492" t="s">
        <v>473</v>
      </c>
      <c r="E20" s="492" t="s">
        <v>474</v>
      </c>
      <c r="F20" s="493">
        <v>2</v>
      </c>
      <c r="G20" s="494" t="s">
        <v>192</v>
      </c>
      <c r="H20" s="495">
        <v>28620</v>
      </c>
      <c r="I20" s="496">
        <f t="shared" si="0"/>
        <v>11448</v>
      </c>
      <c r="J20" s="495">
        <v>13010</v>
      </c>
      <c r="K20" s="487" t="s">
        <v>426</v>
      </c>
      <c r="L20" s="497">
        <f t="shared" si="1"/>
        <v>-0.1364430468204052</v>
      </c>
      <c r="M20" s="492" t="s">
        <v>460</v>
      </c>
      <c r="N20" s="492" t="s">
        <v>428</v>
      </c>
      <c r="O20" s="492" t="s">
        <v>429</v>
      </c>
      <c r="P20" s="492" t="s">
        <v>430</v>
      </c>
      <c r="Q20" s="492" t="s">
        <v>431</v>
      </c>
      <c r="R20" s="492" t="s">
        <v>432</v>
      </c>
      <c r="S20" s="499">
        <v>42222</v>
      </c>
      <c r="T20" s="492" t="s">
        <v>433</v>
      </c>
      <c r="U20" s="492" t="s">
        <v>432</v>
      </c>
      <c r="V20" s="499"/>
      <c r="W20" s="499">
        <v>42247</v>
      </c>
      <c r="X20" s="500">
        <v>26500.68</v>
      </c>
    </row>
    <row r="21" spans="1:24">
      <c r="A21" s="492" t="s">
        <v>423</v>
      </c>
      <c r="B21" s="353">
        <v>1100017608</v>
      </c>
      <c r="C21" s="353">
        <v>200</v>
      </c>
      <c r="D21" s="492" t="s">
        <v>475</v>
      </c>
      <c r="E21" s="492" t="s">
        <v>476</v>
      </c>
      <c r="F21" s="493">
        <v>12</v>
      </c>
      <c r="G21" s="494" t="s">
        <v>192</v>
      </c>
      <c r="H21" s="495">
        <v>1200</v>
      </c>
      <c r="I21" s="496">
        <f t="shared" si="0"/>
        <v>480</v>
      </c>
      <c r="J21" s="495">
        <v>545</v>
      </c>
      <c r="K21" s="487" t="s">
        <v>426</v>
      </c>
      <c r="L21" s="497">
        <f t="shared" si="1"/>
        <v>-0.13541666666666674</v>
      </c>
      <c r="M21" s="492" t="s">
        <v>477</v>
      </c>
      <c r="N21" s="492" t="s">
        <v>428</v>
      </c>
      <c r="O21" s="492" t="s">
        <v>429</v>
      </c>
      <c r="P21" s="492" t="s">
        <v>430</v>
      </c>
      <c r="Q21" s="492" t="s">
        <v>431</v>
      </c>
      <c r="R21" s="492" t="s">
        <v>432</v>
      </c>
      <c r="S21" s="499">
        <v>42222</v>
      </c>
      <c r="T21" s="492" t="s">
        <v>433</v>
      </c>
      <c r="U21" s="492" t="s">
        <v>432</v>
      </c>
      <c r="V21" s="499"/>
      <c r="W21" s="499">
        <v>42247</v>
      </c>
      <c r="X21" s="500">
        <v>5860.68</v>
      </c>
    </row>
    <row r="22" spans="1:24">
      <c r="A22" s="492" t="s">
        <v>423</v>
      </c>
      <c r="B22" s="353">
        <v>1100017608</v>
      </c>
      <c r="C22" s="353">
        <v>210</v>
      </c>
      <c r="D22" s="492" t="s">
        <v>478</v>
      </c>
      <c r="E22" s="492" t="s">
        <v>479</v>
      </c>
      <c r="F22" s="493">
        <v>6</v>
      </c>
      <c r="G22" s="494" t="s">
        <v>192</v>
      </c>
      <c r="H22" s="495">
        <v>1170</v>
      </c>
      <c r="I22" s="496">
        <f t="shared" si="0"/>
        <v>468</v>
      </c>
      <c r="J22" s="495">
        <v>530</v>
      </c>
      <c r="K22" s="487" t="s">
        <v>426</v>
      </c>
      <c r="L22" s="497">
        <f t="shared" si="1"/>
        <v>-0.13247863247863245</v>
      </c>
      <c r="M22" s="492" t="s">
        <v>477</v>
      </c>
      <c r="N22" s="492" t="s">
        <v>428</v>
      </c>
      <c r="O22" s="492" t="s">
        <v>429</v>
      </c>
      <c r="P22" s="492" t="s">
        <v>430</v>
      </c>
      <c r="Q22" s="492" t="s">
        <v>431</v>
      </c>
      <c r="R22" s="492" t="s">
        <v>432</v>
      </c>
      <c r="S22" s="499">
        <v>42222</v>
      </c>
      <c r="T22" s="492" t="s">
        <v>433</v>
      </c>
      <c r="U22" s="492" t="s">
        <v>432</v>
      </c>
      <c r="V22" s="499"/>
      <c r="W22" s="499">
        <v>42247</v>
      </c>
      <c r="X22" s="500">
        <v>4401.24</v>
      </c>
    </row>
    <row r="23" spans="1:24">
      <c r="A23" s="492" t="s">
        <v>423</v>
      </c>
      <c r="B23" s="353">
        <v>1100017608</v>
      </c>
      <c r="C23" s="353">
        <v>220</v>
      </c>
      <c r="D23" s="492" t="s">
        <v>480</v>
      </c>
      <c r="E23" s="492" t="s">
        <v>481</v>
      </c>
      <c r="F23" s="493">
        <v>12</v>
      </c>
      <c r="G23" s="494" t="s">
        <v>192</v>
      </c>
      <c r="H23" s="495">
        <v>1050</v>
      </c>
      <c r="I23" s="496">
        <f t="shared" si="0"/>
        <v>420</v>
      </c>
      <c r="J23" s="495">
        <v>475</v>
      </c>
      <c r="K23" s="495"/>
      <c r="L23" s="497">
        <f t="shared" si="1"/>
        <v>-0.13095238095238093</v>
      </c>
      <c r="M23" s="492" t="s">
        <v>477</v>
      </c>
      <c r="N23" s="492" t="s">
        <v>428</v>
      </c>
      <c r="O23" s="492" t="s">
        <v>429</v>
      </c>
      <c r="P23" s="492" t="s">
        <v>430</v>
      </c>
      <c r="Q23" s="492" t="s">
        <v>431</v>
      </c>
      <c r="R23" s="492" t="s">
        <v>432</v>
      </c>
      <c r="S23" s="499">
        <v>42222</v>
      </c>
      <c r="T23" s="492" t="s">
        <v>433</v>
      </c>
      <c r="U23" s="492" t="s">
        <v>432</v>
      </c>
      <c r="V23" s="499"/>
      <c r="W23" s="499">
        <v>42247</v>
      </c>
      <c r="X23" s="500">
        <v>5357.64</v>
      </c>
    </row>
    <row r="24" spans="1:24">
      <c r="A24" s="492" t="s">
        <v>423</v>
      </c>
      <c r="B24" s="353">
        <v>1100017608</v>
      </c>
      <c r="C24" s="353">
        <v>230</v>
      </c>
      <c r="D24" s="492" t="s">
        <v>482</v>
      </c>
      <c r="E24" s="492" t="s">
        <v>483</v>
      </c>
      <c r="F24" s="493">
        <v>1</v>
      </c>
      <c r="G24" s="494" t="s">
        <v>192</v>
      </c>
      <c r="H24" s="495">
        <v>13520</v>
      </c>
      <c r="I24" s="496">
        <f t="shared" si="0"/>
        <v>5408</v>
      </c>
      <c r="J24" s="495">
        <v>6145</v>
      </c>
      <c r="K24" s="495"/>
      <c r="L24" s="497">
        <f t="shared" si="1"/>
        <v>-0.1362795857988166</v>
      </c>
      <c r="M24" s="492" t="s">
        <v>477</v>
      </c>
      <c r="N24" s="492" t="s">
        <v>428</v>
      </c>
      <c r="O24" s="492" t="s">
        <v>429</v>
      </c>
      <c r="P24" s="492" t="s">
        <v>430</v>
      </c>
      <c r="Q24" s="492" t="s">
        <v>431</v>
      </c>
      <c r="R24" s="492" t="s">
        <v>432</v>
      </c>
      <c r="S24" s="499">
        <v>42222</v>
      </c>
      <c r="T24" s="492" t="s">
        <v>433</v>
      </c>
      <c r="U24" s="492" t="s">
        <v>432</v>
      </c>
      <c r="V24" s="499"/>
      <c r="W24" s="499">
        <v>42247</v>
      </c>
      <c r="X24" s="500">
        <v>5078.34</v>
      </c>
    </row>
    <row r="25" spans="1:24">
      <c r="A25" s="492" t="s">
        <v>423</v>
      </c>
      <c r="B25" s="353">
        <v>1100017608</v>
      </c>
      <c r="C25" s="353">
        <v>240</v>
      </c>
      <c r="D25" s="492" t="s">
        <v>484</v>
      </c>
      <c r="E25" s="492" t="s">
        <v>485</v>
      </c>
      <c r="F25" s="493">
        <v>12</v>
      </c>
      <c r="G25" s="494" t="s">
        <v>192</v>
      </c>
      <c r="H25" s="495">
        <v>1200</v>
      </c>
      <c r="I25" s="496">
        <f t="shared" si="0"/>
        <v>480</v>
      </c>
      <c r="J25" s="495">
        <v>545</v>
      </c>
      <c r="K25" s="495"/>
      <c r="L25" s="497">
        <f t="shared" si="1"/>
        <v>-0.13541666666666674</v>
      </c>
      <c r="M25" s="492" t="s">
        <v>486</v>
      </c>
      <c r="N25" s="492" t="s">
        <v>428</v>
      </c>
      <c r="O25" s="492" t="s">
        <v>429</v>
      </c>
      <c r="P25" s="492" t="s">
        <v>430</v>
      </c>
      <c r="Q25" s="492" t="s">
        <v>431</v>
      </c>
      <c r="R25" s="492" t="s">
        <v>432</v>
      </c>
      <c r="S25" s="499">
        <v>42222</v>
      </c>
      <c r="T25" s="492" t="s">
        <v>433</v>
      </c>
      <c r="U25" s="492" t="s">
        <v>432</v>
      </c>
      <c r="V25" s="499"/>
      <c r="W25" s="499">
        <v>42247</v>
      </c>
      <c r="X25" s="500">
        <v>6540</v>
      </c>
    </row>
    <row r="26" spans="1:24">
      <c r="A26" s="492" t="s">
        <v>423</v>
      </c>
      <c r="B26" s="353">
        <v>1100017608</v>
      </c>
      <c r="C26" s="353">
        <v>250</v>
      </c>
      <c r="D26" s="492" t="s">
        <v>487</v>
      </c>
      <c r="E26" s="492" t="s">
        <v>488</v>
      </c>
      <c r="F26" s="493">
        <v>2</v>
      </c>
      <c r="G26" s="494" t="s">
        <v>192</v>
      </c>
      <c r="H26" s="495">
        <v>18750</v>
      </c>
      <c r="I26" s="496">
        <f t="shared" si="0"/>
        <v>7500</v>
      </c>
      <c r="J26" s="495">
        <v>6815</v>
      </c>
      <c r="K26" s="502" t="s">
        <v>489</v>
      </c>
      <c r="L26" s="497">
        <f t="shared" si="1"/>
        <v>9.1333333333333377E-2</v>
      </c>
      <c r="M26" s="492" t="s">
        <v>490</v>
      </c>
      <c r="N26" s="492" t="s">
        <v>428</v>
      </c>
      <c r="O26" s="492" t="s">
        <v>429</v>
      </c>
      <c r="P26" s="492" t="s">
        <v>430</v>
      </c>
      <c r="Q26" s="492" t="s">
        <v>431</v>
      </c>
      <c r="R26" s="492" t="s">
        <v>432</v>
      </c>
      <c r="S26" s="499">
        <v>42222</v>
      </c>
      <c r="T26" s="492" t="s">
        <v>433</v>
      </c>
      <c r="U26" s="492" t="s">
        <v>432</v>
      </c>
      <c r="V26" s="499"/>
      <c r="W26" s="499">
        <v>42247</v>
      </c>
      <c r="X26" s="500">
        <v>11815.8</v>
      </c>
    </row>
    <row r="27" spans="1:24">
      <c r="A27" s="492" t="s">
        <v>423</v>
      </c>
      <c r="B27" s="353">
        <v>1100017608</v>
      </c>
      <c r="C27" s="353">
        <v>260</v>
      </c>
      <c r="D27" s="492" t="s">
        <v>491</v>
      </c>
      <c r="E27" s="492" t="s">
        <v>492</v>
      </c>
      <c r="F27" s="493">
        <v>12</v>
      </c>
      <c r="G27" s="494" t="s">
        <v>192</v>
      </c>
      <c r="H27" s="495">
        <v>1470</v>
      </c>
      <c r="I27" s="496">
        <f t="shared" si="0"/>
        <v>588</v>
      </c>
      <c r="J27" s="495">
        <v>635</v>
      </c>
      <c r="K27" s="495"/>
      <c r="L27" s="497">
        <f t="shared" si="1"/>
        <v>-7.9931972789115679E-2</v>
      </c>
      <c r="M27" s="492" t="s">
        <v>490</v>
      </c>
      <c r="N27" s="492" t="s">
        <v>428</v>
      </c>
      <c r="O27" s="492" t="s">
        <v>429</v>
      </c>
      <c r="P27" s="492" t="s">
        <v>430</v>
      </c>
      <c r="Q27" s="492" t="s">
        <v>431</v>
      </c>
      <c r="R27" s="492" t="s">
        <v>432</v>
      </c>
      <c r="S27" s="499">
        <v>42222</v>
      </c>
      <c r="T27" s="492" t="s">
        <v>433</v>
      </c>
      <c r="U27" s="492" t="s">
        <v>432</v>
      </c>
      <c r="V27" s="499"/>
      <c r="W27" s="499">
        <v>42247</v>
      </c>
      <c r="X27" s="500">
        <v>7638.96</v>
      </c>
    </row>
    <row r="28" spans="1:24">
      <c r="A28" s="492" t="s">
        <v>423</v>
      </c>
      <c r="B28" s="353">
        <v>1100017608</v>
      </c>
      <c r="C28" s="353">
        <v>270</v>
      </c>
      <c r="D28" s="492" t="s">
        <v>493</v>
      </c>
      <c r="E28" s="492" t="s">
        <v>494</v>
      </c>
      <c r="F28" s="493">
        <v>12</v>
      </c>
      <c r="G28" s="494" t="s">
        <v>192</v>
      </c>
      <c r="H28" s="495">
        <v>1470</v>
      </c>
      <c r="I28" s="496">
        <f t="shared" si="0"/>
        <v>588</v>
      </c>
      <c r="J28" s="495">
        <v>670</v>
      </c>
      <c r="K28" s="495"/>
      <c r="L28" s="497">
        <f t="shared" si="1"/>
        <v>-0.13945578231292521</v>
      </c>
      <c r="M28" s="492" t="s">
        <v>490</v>
      </c>
      <c r="N28" s="492" t="s">
        <v>428</v>
      </c>
      <c r="O28" s="492" t="s">
        <v>429</v>
      </c>
      <c r="P28" s="492" t="s">
        <v>430</v>
      </c>
      <c r="Q28" s="492" t="s">
        <v>431</v>
      </c>
      <c r="R28" s="492" t="s">
        <v>432</v>
      </c>
      <c r="S28" s="499">
        <v>42222</v>
      </c>
      <c r="T28" s="492" t="s">
        <v>433</v>
      </c>
      <c r="U28" s="492" t="s">
        <v>432</v>
      </c>
      <c r="V28" s="499"/>
      <c r="W28" s="499">
        <v>42247</v>
      </c>
      <c r="X28" s="500">
        <v>7875.36</v>
      </c>
    </row>
    <row r="29" spans="1:24">
      <c r="A29" s="492" t="s">
        <v>423</v>
      </c>
      <c r="B29" s="353">
        <v>1100017608</v>
      </c>
      <c r="C29" s="353">
        <v>280</v>
      </c>
      <c r="D29" s="492" t="s">
        <v>495</v>
      </c>
      <c r="E29" s="492" t="s">
        <v>496</v>
      </c>
      <c r="F29" s="493">
        <v>1</v>
      </c>
      <c r="G29" s="494" t="s">
        <v>192</v>
      </c>
      <c r="H29" s="495">
        <v>15950</v>
      </c>
      <c r="I29" s="496">
        <f t="shared" si="0"/>
        <v>6380</v>
      </c>
      <c r="J29" s="495">
        <v>7250</v>
      </c>
      <c r="K29" s="495"/>
      <c r="L29" s="497">
        <f t="shared" si="1"/>
        <v>-0.13636363636363646</v>
      </c>
      <c r="M29" s="492" t="s">
        <v>490</v>
      </c>
      <c r="N29" s="492" t="s">
        <v>428</v>
      </c>
      <c r="O29" s="492" t="s">
        <v>429</v>
      </c>
      <c r="P29" s="492" t="s">
        <v>430</v>
      </c>
      <c r="Q29" s="492" t="s">
        <v>431</v>
      </c>
      <c r="R29" s="492" t="s">
        <v>432</v>
      </c>
      <c r="S29" s="499">
        <v>42222</v>
      </c>
      <c r="T29" s="492" t="s">
        <v>433</v>
      </c>
      <c r="U29" s="492" t="s">
        <v>432</v>
      </c>
      <c r="V29" s="499"/>
      <c r="W29" s="499">
        <v>42247</v>
      </c>
      <c r="X29" s="500">
        <v>6518.04</v>
      </c>
    </row>
    <row r="30" spans="1:24">
      <c r="A30" s="492" t="s">
        <v>423</v>
      </c>
      <c r="B30" s="353">
        <v>1100017608</v>
      </c>
      <c r="C30" s="353">
        <v>290</v>
      </c>
      <c r="D30" s="492" t="s">
        <v>497</v>
      </c>
      <c r="E30" s="492" t="s">
        <v>498</v>
      </c>
      <c r="F30" s="493">
        <v>12</v>
      </c>
      <c r="G30" s="494" t="s">
        <v>192</v>
      </c>
      <c r="H30" s="495">
        <v>1050</v>
      </c>
      <c r="I30" s="496">
        <f t="shared" si="0"/>
        <v>420</v>
      </c>
      <c r="J30" s="495">
        <v>475</v>
      </c>
      <c r="K30" s="495"/>
      <c r="L30" s="497">
        <f t="shared" si="1"/>
        <v>-0.13095238095238093</v>
      </c>
      <c r="M30" s="492" t="s">
        <v>490</v>
      </c>
      <c r="N30" s="492" t="s">
        <v>428</v>
      </c>
      <c r="O30" s="492" t="s">
        <v>429</v>
      </c>
      <c r="P30" s="492" t="s">
        <v>430</v>
      </c>
      <c r="Q30" s="492" t="s">
        <v>431</v>
      </c>
      <c r="R30" s="492" t="s">
        <v>432</v>
      </c>
      <c r="S30" s="499">
        <v>42222</v>
      </c>
      <c r="T30" s="492" t="s">
        <v>433</v>
      </c>
      <c r="U30" s="492" t="s">
        <v>432</v>
      </c>
      <c r="V30" s="499"/>
      <c r="W30" s="499">
        <v>42247</v>
      </c>
      <c r="X30" s="500">
        <v>5677.08</v>
      </c>
    </row>
    <row r="31" spans="1:24">
      <c r="A31" s="492" t="s">
        <v>423</v>
      </c>
      <c r="B31" s="353">
        <v>1100017608</v>
      </c>
      <c r="C31" s="353">
        <v>300</v>
      </c>
      <c r="D31" s="492" t="s">
        <v>499</v>
      </c>
      <c r="E31" s="492" t="s">
        <v>500</v>
      </c>
      <c r="F31" s="493">
        <v>12</v>
      </c>
      <c r="G31" s="494" t="s">
        <v>192</v>
      </c>
      <c r="H31" s="495">
        <v>1220</v>
      </c>
      <c r="I31" s="496">
        <f t="shared" si="0"/>
        <v>488</v>
      </c>
      <c r="J31" s="495">
        <v>555</v>
      </c>
      <c r="K31" s="495"/>
      <c r="L31" s="497">
        <f t="shared" si="1"/>
        <v>-0.13729508196721318</v>
      </c>
      <c r="M31" s="492" t="s">
        <v>490</v>
      </c>
      <c r="N31" s="492" t="s">
        <v>428</v>
      </c>
      <c r="O31" s="492" t="s">
        <v>429</v>
      </c>
      <c r="P31" s="492" t="s">
        <v>430</v>
      </c>
      <c r="Q31" s="492" t="s">
        <v>431</v>
      </c>
      <c r="R31" s="492" t="s">
        <v>432</v>
      </c>
      <c r="S31" s="499">
        <v>42222</v>
      </c>
      <c r="T31" s="492" t="s">
        <v>433</v>
      </c>
      <c r="U31" s="492" t="s">
        <v>432</v>
      </c>
      <c r="V31" s="499"/>
      <c r="W31" s="499">
        <v>42247</v>
      </c>
      <c r="X31" s="500">
        <v>6645.72</v>
      </c>
    </row>
    <row r="32" spans="1:24">
      <c r="A32" s="492" t="s">
        <v>423</v>
      </c>
      <c r="B32" s="353">
        <v>1100017608</v>
      </c>
      <c r="C32" s="353">
        <v>310</v>
      </c>
      <c r="D32" s="492" t="s">
        <v>501</v>
      </c>
      <c r="E32" s="492" t="s">
        <v>502</v>
      </c>
      <c r="F32" s="493">
        <v>12</v>
      </c>
      <c r="G32" s="494" t="s">
        <v>192</v>
      </c>
      <c r="H32" s="495">
        <v>1640</v>
      </c>
      <c r="I32" s="496">
        <f t="shared" si="0"/>
        <v>656</v>
      </c>
      <c r="J32" s="495">
        <v>745</v>
      </c>
      <c r="K32" s="495"/>
      <c r="L32" s="497">
        <f t="shared" si="1"/>
        <v>-0.13567073170731714</v>
      </c>
      <c r="M32" s="492" t="s">
        <v>490</v>
      </c>
      <c r="N32" s="492" t="s">
        <v>428</v>
      </c>
      <c r="O32" s="492" t="s">
        <v>429</v>
      </c>
      <c r="P32" s="492" t="s">
        <v>430</v>
      </c>
      <c r="Q32" s="492" t="s">
        <v>431</v>
      </c>
      <c r="R32" s="492" t="s">
        <v>432</v>
      </c>
      <c r="S32" s="499">
        <v>42222</v>
      </c>
      <c r="T32" s="492" t="s">
        <v>433</v>
      </c>
      <c r="U32" s="492" t="s">
        <v>432</v>
      </c>
      <c r="V32" s="499"/>
      <c r="W32" s="499">
        <v>42247</v>
      </c>
      <c r="X32" s="500">
        <v>9018.24</v>
      </c>
    </row>
    <row r="33" spans="1:26">
      <c r="A33" s="492" t="s">
        <v>423</v>
      </c>
      <c r="B33" s="353">
        <v>1100017608</v>
      </c>
      <c r="C33" s="353">
        <v>320</v>
      </c>
      <c r="D33" s="492" t="s">
        <v>503</v>
      </c>
      <c r="E33" s="492" t="s">
        <v>504</v>
      </c>
      <c r="F33" s="493">
        <v>12</v>
      </c>
      <c r="G33" s="494" t="s">
        <v>192</v>
      </c>
      <c r="H33" s="495">
        <v>1640</v>
      </c>
      <c r="I33" s="496">
        <f t="shared" si="0"/>
        <v>656</v>
      </c>
      <c r="J33" s="495">
        <v>745</v>
      </c>
      <c r="K33" s="495"/>
      <c r="L33" s="497">
        <f t="shared" si="1"/>
        <v>-0.13567073170731714</v>
      </c>
      <c r="M33" s="492" t="s">
        <v>490</v>
      </c>
      <c r="N33" s="492" t="s">
        <v>428</v>
      </c>
      <c r="O33" s="492" t="s">
        <v>429</v>
      </c>
      <c r="P33" s="492" t="s">
        <v>430</v>
      </c>
      <c r="Q33" s="492" t="s">
        <v>431</v>
      </c>
      <c r="R33" s="492" t="s">
        <v>432</v>
      </c>
      <c r="S33" s="499">
        <v>42222</v>
      </c>
      <c r="T33" s="492" t="s">
        <v>433</v>
      </c>
      <c r="U33" s="492" t="s">
        <v>432</v>
      </c>
      <c r="V33" s="499"/>
      <c r="W33" s="499">
        <v>42247</v>
      </c>
      <c r="X33" s="500">
        <v>8940</v>
      </c>
    </row>
    <row r="34" spans="1:26">
      <c r="A34" s="492" t="s">
        <v>423</v>
      </c>
      <c r="B34" s="353">
        <v>1100017608</v>
      </c>
      <c r="C34" s="353">
        <v>330</v>
      </c>
      <c r="D34" s="492" t="s">
        <v>505</v>
      </c>
      <c r="E34" s="492" t="s">
        <v>506</v>
      </c>
      <c r="F34" s="493">
        <v>1</v>
      </c>
      <c r="G34" s="494" t="s">
        <v>192</v>
      </c>
      <c r="H34" s="495">
        <v>6010</v>
      </c>
      <c r="I34" s="496">
        <f t="shared" si="0"/>
        <v>2404</v>
      </c>
      <c r="J34" s="495">
        <v>3015</v>
      </c>
      <c r="K34" s="495"/>
      <c r="L34" s="497">
        <f t="shared" si="1"/>
        <v>-0.25415973377703827</v>
      </c>
      <c r="M34" s="492" t="s">
        <v>490</v>
      </c>
      <c r="N34" s="492" t="s">
        <v>428</v>
      </c>
      <c r="O34" s="492" t="s">
        <v>429</v>
      </c>
      <c r="P34" s="492" t="s">
        <v>430</v>
      </c>
      <c r="Q34" s="492" t="s">
        <v>431</v>
      </c>
      <c r="R34" s="492" t="s">
        <v>432</v>
      </c>
      <c r="S34" s="499">
        <v>42222</v>
      </c>
      <c r="T34" s="492" t="s">
        <v>433</v>
      </c>
      <c r="U34" s="492" t="s">
        <v>432</v>
      </c>
      <c r="V34" s="499"/>
      <c r="W34" s="499">
        <v>42247</v>
      </c>
      <c r="X34" s="500">
        <v>4613.63</v>
      </c>
    </row>
    <row r="35" spans="1:26">
      <c r="A35" s="492" t="s">
        <v>423</v>
      </c>
      <c r="B35" s="353">
        <v>1100017608</v>
      </c>
      <c r="C35" s="353">
        <v>340</v>
      </c>
      <c r="D35" s="492" t="s">
        <v>507</v>
      </c>
      <c r="E35" s="492" t="s">
        <v>508</v>
      </c>
      <c r="F35" s="493">
        <v>1</v>
      </c>
      <c r="G35" s="494" t="s">
        <v>192</v>
      </c>
      <c r="H35" s="495">
        <v>6760</v>
      </c>
      <c r="I35" s="496">
        <f t="shared" si="0"/>
        <v>2704</v>
      </c>
      <c r="J35" s="495">
        <v>2704</v>
      </c>
      <c r="K35" s="495"/>
      <c r="L35" s="497"/>
      <c r="M35" s="492" t="s">
        <v>490</v>
      </c>
      <c r="N35" s="492" t="s">
        <v>428</v>
      </c>
      <c r="O35" s="492" t="s">
        <v>429</v>
      </c>
      <c r="P35" s="492" t="s">
        <v>430</v>
      </c>
      <c r="Q35" s="492" t="s">
        <v>431</v>
      </c>
      <c r="R35" s="492" t="s">
        <v>432</v>
      </c>
      <c r="S35" s="499">
        <v>42222</v>
      </c>
      <c r="T35" s="492" t="s">
        <v>433</v>
      </c>
      <c r="U35" s="492" t="s">
        <v>432</v>
      </c>
      <c r="V35" s="499"/>
      <c r="W35" s="499">
        <v>42247</v>
      </c>
      <c r="X35" s="500">
        <v>6212.25</v>
      </c>
    </row>
    <row r="36" spans="1:26" ht="27" thickBot="1">
      <c r="A36" s="492"/>
      <c r="B36" s="353"/>
      <c r="C36" s="353"/>
      <c r="D36" s="492"/>
      <c r="E36" s="492"/>
      <c r="F36" s="493"/>
      <c r="G36" s="494"/>
      <c r="H36" s="503" t="s">
        <v>509</v>
      </c>
      <c r="I36" s="504" t="s">
        <v>510</v>
      </c>
      <c r="J36" s="503"/>
      <c r="K36" s="495"/>
      <c r="L36" s="497"/>
      <c r="M36" s="492"/>
      <c r="N36" s="492"/>
      <c r="O36" s="492"/>
      <c r="P36" s="492"/>
      <c r="Q36" s="492"/>
      <c r="R36" s="492"/>
      <c r="S36" s="499"/>
      <c r="T36" s="492"/>
      <c r="U36" s="492"/>
      <c r="V36" s="499"/>
      <c r="W36" s="499"/>
      <c r="X36" s="500"/>
    </row>
    <row r="37" spans="1:26" ht="15.75" thickBot="1">
      <c r="A37" s="492"/>
      <c r="B37" s="492"/>
      <c r="C37" s="492"/>
      <c r="D37" s="492"/>
      <c r="E37" s="492"/>
      <c r="F37" s="493"/>
      <c r="G37" s="494"/>
      <c r="H37" s="505">
        <f>SUMPRODUCT(H2:H35, $F$2:$F$35)</f>
        <v>678920</v>
      </c>
      <c r="I37" s="506">
        <f>SUMPRODUCT(I2:I35, $F$2:$F$35)</f>
        <v>271568</v>
      </c>
      <c r="J37" s="507">
        <f>SUMPRODUCT(J2:J35, $F$2:$F$35)</f>
        <v>299756</v>
      </c>
      <c r="K37" s="508"/>
      <c r="L37" s="495"/>
      <c r="M37" s="492"/>
      <c r="N37" s="492"/>
      <c r="O37" s="492"/>
      <c r="P37" s="492"/>
      <c r="Q37" s="492"/>
      <c r="R37" s="492"/>
      <c r="S37" s="499"/>
      <c r="T37" s="492"/>
      <c r="U37" s="492"/>
      <c r="V37" s="499"/>
      <c r="W37" s="499"/>
      <c r="X37" s="500"/>
    </row>
    <row r="38" spans="1:26" ht="16.5" thickBot="1">
      <c r="A38" s="492"/>
      <c r="B38" s="492"/>
      <c r="C38" s="492"/>
      <c r="D38" s="492"/>
      <c r="E38" s="492"/>
      <c r="F38" s="493"/>
      <c r="G38" s="494"/>
      <c r="H38" s="509" t="s">
        <v>511</v>
      </c>
      <c r="I38" s="510"/>
      <c r="J38" s="511">
        <f>J37-I37</f>
        <v>28188</v>
      </c>
      <c r="K38" s="512"/>
      <c r="L38" s="513"/>
      <c r="N38" s="492" t="s">
        <v>487</v>
      </c>
      <c r="O38" s="492" t="s">
        <v>488</v>
      </c>
      <c r="P38" s="492" t="s">
        <v>512</v>
      </c>
      <c r="Q38" s="492" t="s">
        <v>513</v>
      </c>
      <c r="R38" s="492" t="s">
        <v>192</v>
      </c>
      <c r="S38" s="499">
        <v>0</v>
      </c>
      <c r="T38" s="492" t="s">
        <v>192</v>
      </c>
      <c r="U38" s="492" t="s">
        <v>514</v>
      </c>
      <c r="V38" s="499" t="s">
        <v>515</v>
      </c>
      <c r="W38" s="499">
        <v>1</v>
      </c>
      <c r="X38" s="500">
        <v>0</v>
      </c>
      <c r="Y38" s="501">
        <v>0</v>
      </c>
      <c r="Z38" s="501">
        <v>0</v>
      </c>
    </row>
    <row r="39" spans="1:26">
      <c r="A39" s="492"/>
      <c r="B39" s="492"/>
      <c r="C39" s="492"/>
      <c r="D39" s="492"/>
      <c r="E39" s="492"/>
      <c r="F39" s="493"/>
      <c r="G39" s="494"/>
      <c r="H39" s="495"/>
      <c r="I39" s="495"/>
      <c r="J39" s="495"/>
      <c r="K39" s="495"/>
      <c r="L39" s="495"/>
      <c r="M39" s="492"/>
      <c r="N39" s="492"/>
      <c r="O39" s="492"/>
      <c r="P39" s="492"/>
      <c r="Q39" s="492"/>
      <c r="R39" s="492"/>
      <c r="S39" s="499"/>
      <c r="T39" s="492"/>
      <c r="U39" s="492"/>
      <c r="V39" s="499"/>
      <c r="W39" s="499"/>
      <c r="X39" s="500"/>
    </row>
    <row r="40" spans="1:26" s="487" customFormat="1" ht="30">
      <c r="A40" s="487" t="s">
        <v>402</v>
      </c>
      <c r="B40" s="487" t="s">
        <v>403</v>
      </c>
      <c r="C40" s="487" t="s">
        <v>4</v>
      </c>
      <c r="D40" s="487" t="s">
        <v>404</v>
      </c>
      <c r="E40" s="487" t="s">
        <v>405</v>
      </c>
      <c r="F40" s="488" t="s">
        <v>406</v>
      </c>
      <c r="G40" s="489" t="s">
        <v>407</v>
      </c>
      <c r="H40" s="487" t="s">
        <v>408</v>
      </c>
      <c r="I40" s="490" t="s">
        <v>409</v>
      </c>
      <c r="J40" s="491" t="s">
        <v>410</v>
      </c>
      <c r="K40" s="491" t="s">
        <v>411</v>
      </c>
      <c r="L40" s="491" t="s">
        <v>412</v>
      </c>
      <c r="N40" s="487" t="s">
        <v>413</v>
      </c>
      <c r="O40" s="487" t="s">
        <v>414</v>
      </c>
      <c r="P40" s="487" t="s">
        <v>415</v>
      </c>
      <c r="Q40" s="487" t="s">
        <v>416</v>
      </c>
      <c r="R40" s="487" t="s">
        <v>90</v>
      </c>
      <c r="S40" s="488" t="s">
        <v>417</v>
      </c>
      <c r="T40" s="487" t="s">
        <v>418</v>
      </c>
      <c r="U40" s="487" t="s">
        <v>419</v>
      </c>
      <c r="V40" s="488" t="s">
        <v>420</v>
      </c>
      <c r="W40" s="488" t="s">
        <v>421</v>
      </c>
      <c r="X40" s="488" t="s">
        <v>422</v>
      </c>
    </row>
    <row r="41" spans="1:26">
      <c r="A41" s="492" t="s">
        <v>423</v>
      </c>
      <c r="B41" s="492" t="s">
        <v>516</v>
      </c>
      <c r="C41" s="492" t="s">
        <v>136</v>
      </c>
      <c r="D41" s="492" t="s">
        <v>517</v>
      </c>
      <c r="E41" s="492" t="s">
        <v>518</v>
      </c>
      <c r="F41" s="493">
        <v>1</v>
      </c>
      <c r="G41" s="494" t="s">
        <v>192</v>
      </c>
      <c r="H41" s="495">
        <v>16730</v>
      </c>
      <c r="I41" s="496">
        <f t="shared" ref="I41:I104" si="2">H41*0.4</f>
        <v>6692</v>
      </c>
      <c r="J41" s="500">
        <v>7530</v>
      </c>
      <c r="K41" s="502" t="s">
        <v>489</v>
      </c>
      <c r="L41" s="497">
        <f t="shared" ref="L41:L104" si="3">1-(J41/I41)</f>
        <v>-0.12522414823670047</v>
      </c>
      <c r="M41" s="492" t="s">
        <v>519</v>
      </c>
      <c r="N41" s="492" t="s">
        <v>520</v>
      </c>
      <c r="O41" s="492" t="s">
        <v>429</v>
      </c>
      <c r="P41" s="492" t="s">
        <v>521</v>
      </c>
      <c r="Q41" s="492" t="s">
        <v>431</v>
      </c>
      <c r="R41" s="492" t="s">
        <v>432</v>
      </c>
      <c r="S41" s="499">
        <v>42207</v>
      </c>
      <c r="T41" s="492" t="s">
        <v>433</v>
      </c>
      <c r="U41" s="492" t="s">
        <v>432</v>
      </c>
      <c r="V41" s="499"/>
      <c r="W41" s="499">
        <v>42246</v>
      </c>
      <c r="X41" s="500">
        <v>6505.87</v>
      </c>
    </row>
    <row r="42" spans="1:26">
      <c r="A42" s="492" t="s">
        <v>423</v>
      </c>
      <c r="B42" s="492" t="s">
        <v>516</v>
      </c>
      <c r="C42" s="492" t="s">
        <v>147</v>
      </c>
      <c r="D42" s="492" t="s">
        <v>522</v>
      </c>
      <c r="E42" s="492" t="s">
        <v>523</v>
      </c>
      <c r="F42" s="493">
        <v>12</v>
      </c>
      <c r="G42" s="494" t="s">
        <v>192</v>
      </c>
      <c r="H42" s="495">
        <v>1640</v>
      </c>
      <c r="I42" s="496">
        <f t="shared" si="2"/>
        <v>656</v>
      </c>
      <c r="J42" s="353">
        <v>830</v>
      </c>
      <c r="K42" s="492"/>
      <c r="L42" s="497">
        <f t="shared" si="3"/>
        <v>-0.26524390243902429</v>
      </c>
      <c r="M42" s="492" t="s">
        <v>519</v>
      </c>
      <c r="N42" s="492" t="s">
        <v>520</v>
      </c>
      <c r="O42" s="492" t="s">
        <v>429</v>
      </c>
      <c r="P42" s="492" t="s">
        <v>521</v>
      </c>
      <c r="Q42" s="492" t="s">
        <v>431</v>
      </c>
      <c r="R42" s="492" t="s">
        <v>432</v>
      </c>
      <c r="S42" s="499">
        <v>42207</v>
      </c>
      <c r="T42" s="492" t="s">
        <v>433</v>
      </c>
      <c r="U42" s="492" t="s">
        <v>432</v>
      </c>
      <c r="V42" s="499"/>
      <c r="W42" s="499">
        <v>42246</v>
      </c>
      <c r="X42" s="500">
        <v>8793.24</v>
      </c>
    </row>
    <row r="43" spans="1:26">
      <c r="A43" s="492" t="s">
        <v>423</v>
      </c>
      <c r="B43" s="492" t="s">
        <v>516</v>
      </c>
      <c r="C43" s="492" t="s">
        <v>150</v>
      </c>
      <c r="D43" s="492" t="s">
        <v>524</v>
      </c>
      <c r="E43" s="492" t="s">
        <v>525</v>
      </c>
      <c r="F43" s="493">
        <v>12</v>
      </c>
      <c r="G43" s="494" t="s">
        <v>192</v>
      </c>
      <c r="H43" s="495">
        <v>1440</v>
      </c>
      <c r="I43" s="496">
        <f t="shared" si="2"/>
        <v>576</v>
      </c>
      <c r="J43" s="353">
        <v>720</v>
      </c>
      <c r="K43" s="492"/>
      <c r="L43" s="497">
        <f t="shared" si="3"/>
        <v>-0.25</v>
      </c>
      <c r="M43" s="492" t="s">
        <v>519</v>
      </c>
      <c r="N43" s="492" t="s">
        <v>520</v>
      </c>
      <c r="O43" s="492" t="s">
        <v>429</v>
      </c>
      <c r="P43" s="492" t="s">
        <v>521</v>
      </c>
      <c r="Q43" s="492" t="s">
        <v>431</v>
      </c>
      <c r="R43" s="492" t="s">
        <v>432</v>
      </c>
      <c r="S43" s="499">
        <v>42207</v>
      </c>
      <c r="T43" s="492" t="s">
        <v>433</v>
      </c>
      <c r="U43" s="492" t="s">
        <v>432</v>
      </c>
      <c r="V43" s="499"/>
      <c r="W43" s="499">
        <v>42246</v>
      </c>
      <c r="X43" s="500">
        <v>7564.68</v>
      </c>
    </row>
    <row r="44" spans="1:26">
      <c r="A44" s="492" t="s">
        <v>423</v>
      </c>
      <c r="B44" s="492" t="s">
        <v>516</v>
      </c>
      <c r="C44" s="492" t="s">
        <v>152</v>
      </c>
      <c r="D44" s="492" t="s">
        <v>526</v>
      </c>
      <c r="E44" s="492" t="s">
        <v>527</v>
      </c>
      <c r="F44" s="493">
        <v>6</v>
      </c>
      <c r="G44" s="494" t="s">
        <v>192</v>
      </c>
      <c r="H44" s="495">
        <v>1630</v>
      </c>
      <c r="I44" s="496">
        <f t="shared" si="2"/>
        <v>652</v>
      </c>
      <c r="J44" s="353">
        <v>815</v>
      </c>
      <c r="K44" s="492"/>
      <c r="L44" s="497">
        <f t="shared" si="3"/>
        <v>-0.25</v>
      </c>
      <c r="M44" s="492" t="s">
        <v>519</v>
      </c>
      <c r="N44" s="492" t="s">
        <v>520</v>
      </c>
      <c r="O44" s="492" t="s">
        <v>429</v>
      </c>
      <c r="P44" s="492" t="s">
        <v>521</v>
      </c>
      <c r="Q44" s="492" t="s">
        <v>431</v>
      </c>
      <c r="R44" s="492" t="s">
        <v>432</v>
      </c>
      <c r="S44" s="499">
        <v>42207</v>
      </c>
      <c r="T44" s="492" t="s">
        <v>433</v>
      </c>
      <c r="U44" s="492" t="s">
        <v>432</v>
      </c>
      <c r="V44" s="499"/>
      <c r="W44" s="499">
        <v>42246</v>
      </c>
      <c r="X44" s="500">
        <v>4267.32</v>
      </c>
    </row>
    <row r="45" spans="1:26">
      <c r="A45" s="492" t="s">
        <v>423</v>
      </c>
      <c r="B45" s="492" t="s">
        <v>516</v>
      </c>
      <c r="C45" s="492" t="s">
        <v>140</v>
      </c>
      <c r="D45" s="492" t="s">
        <v>528</v>
      </c>
      <c r="E45" s="492" t="s">
        <v>529</v>
      </c>
      <c r="F45" s="493">
        <v>12</v>
      </c>
      <c r="G45" s="494" t="s">
        <v>192</v>
      </c>
      <c r="H45" s="495">
        <v>1290</v>
      </c>
      <c r="I45" s="496">
        <f t="shared" si="2"/>
        <v>516</v>
      </c>
      <c r="J45" s="353">
        <v>645</v>
      </c>
      <c r="K45" s="492"/>
      <c r="L45" s="497">
        <f t="shared" si="3"/>
        <v>-0.25</v>
      </c>
      <c r="M45" s="492" t="s">
        <v>519</v>
      </c>
      <c r="N45" s="492" t="s">
        <v>520</v>
      </c>
      <c r="O45" s="492" t="s">
        <v>429</v>
      </c>
      <c r="P45" s="492" t="s">
        <v>521</v>
      </c>
      <c r="Q45" s="492" t="s">
        <v>431</v>
      </c>
      <c r="R45" s="492" t="s">
        <v>432</v>
      </c>
      <c r="S45" s="499">
        <v>42207</v>
      </c>
      <c r="T45" s="492" t="s">
        <v>433</v>
      </c>
      <c r="U45" s="492" t="s">
        <v>432</v>
      </c>
      <c r="V45" s="499"/>
      <c r="W45" s="499">
        <v>42246</v>
      </c>
      <c r="X45" s="500">
        <v>6255</v>
      </c>
    </row>
    <row r="46" spans="1:26">
      <c r="A46" s="492" t="s">
        <v>423</v>
      </c>
      <c r="B46" s="492" t="s">
        <v>516</v>
      </c>
      <c r="C46" s="492" t="s">
        <v>202</v>
      </c>
      <c r="D46" s="492" t="s">
        <v>530</v>
      </c>
      <c r="E46" s="492" t="s">
        <v>531</v>
      </c>
      <c r="F46" s="493">
        <v>6</v>
      </c>
      <c r="G46" s="494" t="s">
        <v>192</v>
      </c>
      <c r="H46" s="495">
        <v>4780</v>
      </c>
      <c r="I46" s="496">
        <f t="shared" si="2"/>
        <v>1912</v>
      </c>
      <c r="J46" s="500">
        <v>2390</v>
      </c>
      <c r="K46" s="487" t="s">
        <v>426</v>
      </c>
      <c r="L46" s="497">
        <f t="shared" si="3"/>
        <v>-0.25</v>
      </c>
      <c r="M46" s="492" t="s">
        <v>519</v>
      </c>
      <c r="N46" s="492" t="s">
        <v>520</v>
      </c>
      <c r="O46" s="492" t="s">
        <v>429</v>
      </c>
      <c r="P46" s="492" t="s">
        <v>521</v>
      </c>
      <c r="Q46" s="492" t="s">
        <v>431</v>
      </c>
      <c r="R46" s="492" t="s">
        <v>432</v>
      </c>
      <c r="S46" s="499">
        <v>42207</v>
      </c>
      <c r="T46" s="492" t="s">
        <v>433</v>
      </c>
      <c r="U46" s="492" t="s">
        <v>432</v>
      </c>
      <c r="V46" s="499"/>
      <c r="W46" s="499">
        <v>42246</v>
      </c>
      <c r="X46" s="500">
        <v>11330.4</v>
      </c>
    </row>
    <row r="47" spans="1:26">
      <c r="A47" s="492" t="s">
        <v>423</v>
      </c>
      <c r="B47" s="492" t="s">
        <v>516</v>
      </c>
      <c r="C47" s="492" t="s">
        <v>204</v>
      </c>
      <c r="D47" s="492" t="s">
        <v>532</v>
      </c>
      <c r="E47" s="492" t="s">
        <v>533</v>
      </c>
      <c r="F47" s="493">
        <v>6</v>
      </c>
      <c r="G47" s="494" t="s">
        <v>192</v>
      </c>
      <c r="H47" s="495">
        <v>4780</v>
      </c>
      <c r="I47" s="496">
        <f t="shared" si="2"/>
        <v>1912</v>
      </c>
      <c r="J47" s="500">
        <v>2390</v>
      </c>
      <c r="K47" s="492"/>
      <c r="L47" s="497">
        <f t="shared" si="3"/>
        <v>-0.25</v>
      </c>
      <c r="M47" s="492" t="s">
        <v>519</v>
      </c>
      <c r="N47" s="492" t="s">
        <v>520</v>
      </c>
      <c r="O47" s="492" t="s">
        <v>429</v>
      </c>
      <c r="P47" s="492" t="s">
        <v>521</v>
      </c>
      <c r="Q47" s="492" t="s">
        <v>431</v>
      </c>
      <c r="R47" s="492" t="s">
        <v>432</v>
      </c>
      <c r="S47" s="499">
        <v>42207</v>
      </c>
      <c r="T47" s="492" t="s">
        <v>433</v>
      </c>
      <c r="U47" s="492" t="s">
        <v>432</v>
      </c>
      <c r="V47" s="499"/>
      <c r="W47" s="499">
        <v>42246</v>
      </c>
      <c r="X47" s="500">
        <v>11755.68</v>
      </c>
    </row>
    <row r="48" spans="1:26">
      <c r="A48" s="492" t="s">
        <v>423</v>
      </c>
      <c r="B48" s="492" t="s">
        <v>516</v>
      </c>
      <c r="C48" s="492" t="s">
        <v>206</v>
      </c>
      <c r="D48" s="492" t="s">
        <v>534</v>
      </c>
      <c r="E48" s="492" t="s">
        <v>535</v>
      </c>
      <c r="F48" s="493">
        <v>12</v>
      </c>
      <c r="G48" s="494" t="s">
        <v>192</v>
      </c>
      <c r="H48" s="495">
        <v>4780</v>
      </c>
      <c r="I48" s="496">
        <f t="shared" si="2"/>
        <v>1912</v>
      </c>
      <c r="J48" s="500">
        <v>2150</v>
      </c>
      <c r="K48" s="487" t="s">
        <v>426</v>
      </c>
      <c r="L48" s="497">
        <f t="shared" si="3"/>
        <v>-0.12447698744769875</v>
      </c>
      <c r="M48" s="492" t="s">
        <v>536</v>
      </c>
      <c r="N48" s="492" t="s">
        <v>520</v>
      </c>
      <c r="O48" s="492" t="s">
        <v>429</v>
      </c>
      <c r="P48" s="492" t="s">
        <v>521</v>
      </c>
      <c r="Q48" s="492" t="s">
        <v>431</v>
      </c>
      <c r="R48" s="492" t="s">
        <v>432</v>
      </c>
      <c r="S48" s="499">
        <v>42207</v>
      </c>
      <c r="T48" s="492" t="s">
        <v>433</v>
      </c>
      <c r="U48" s="492" t="s">
        <v>432</v>
      </c>
      <c r="V48" s="499"/>
      <c r="W48" s="499">
        <v>42246</v>
      </c>
      <c r="X48" s="500">
        <v>18900.240000000002</v>
      </c>
    </row>
    <row r="49" spans="1:24">
      <c r="A49" s="492" t="s">
        <v>423</v>
      </c>
      <c r="B49" s="492" t="s">
        <v>516</v>
      </c>
      <c r="C49" s="492" t="s">
        <v>209</v>
      </c>
      <c r="D49" s="492" t="s">
        <v>537</v>
      </c>
      <c r="E49" s="492" t="s">
        <v>538</v>
      </c>
      <c r="F49" s="493">
        <v>12</v>
      </c>
      <c r="G49" s="494" t="s">
        <v>192</v>
      </c>
      <c r="H49" s="495">
        <v>1530</v>
      </c>
      <c r="I49" s="496">
        <f t="shared" si="2"/>
        <v>612</v>
      </c>
      <c r="J49" s="353">
        <v>760</v>
      </c>
      <c r="K49" s="492"/>
      <c r="L49" s="497">
        <f t="shared" si="3"/>
        <v>-0.24183006535947715</v>
      </c>
      <c r="M49" s="492" t="s">
        <v>536</v>
      </c>
      <c r="N49" s="492" t="s">
        <v>520</v>
      </c>
      <c r="O49" s="492" t="s">
        <v>429</v>
      </c>
      <c r="P49" s="492" t="s">
        <v>521</v>
      </c>
      <c r="Q49" s="492" t="s">
        <v>431</v>
      </c>
      <c r="R49" s="492" t="s">
        <v>432</v>
      </c>
      <c r="S49" s="499">
        <v>42207</v>
      </c>
      <c r="T49" s="492" t="s">
        <v>433</v>
      </c>
      <c r="U49" s="492" t="s">
        <v>432</v>
      </c>
      <c r="V49" s="499"/>
      <c r="W49" s="499">
        <v>42246</v>
      </c>
      <c r="X49" s="500">
        <v>7753.8</v>
      </c>
    </row>
    <row r="50" spans="1:24">
      <c r="A50" s="492" t="s">
        <v>423</v>
      </c>
      <c r="B50" s="492" t="s">
        <v>516</v>
      </c>
      <c r="C50" s="492" t="s">
        <v>212</v>
      </c>
      <c r="D50" s="492" t="s">
        <v>539</v>
      </c>
      <c r="E50" s="492" t="s">
        <v>540</v>
      </c>
      <c r="F50" s="493">
        <v>2</v>
      </c>
      <c r="G50" s="494" t="s">
        <v>192</v>
      </c>
      <c r="H50" s="495">
        <v>13720</v>
      </c>
      <c r="I50" s="496">
        <f t="shared" si="2"/>
        <v>5488</v>
      </c>
      <c r="J50" s="353">
        <v>5488</v>
      </c>
      <c r="K50" s="492"/>
      <c r="L50" s="497"/>
      <c r="M50" s="492" t="s">
        <v>541</v>
      </c>
      <c r="N50" s="492" t="s">
        <v>520</v>
      </c>
      <c r="O50" s="492" t="s">
        <v>429</v>
      </c>
      <c r="P50" s="492" t="s">
        <v>521</v>
      </c>
      <c r="Q50" s="492" t="s">
        <v>431</v>
      </c>
      <c r="R50" s="492" t="s">
        <v>432</v>
      </c>
      <c r="S50" s="499">
        <v>42207</v>
      </c>
      <c r="T50" s="492" t="s">
        <v>433</v>
      </c>
      <c r="U50" s="492" t="s">
        <v>432</v>
      </c>
      <c r="V50" s="499"/>
      <c r="W50" s="499">
        <v>42246</v>
      </c>
      <c r="X50" s="500">
        <v>10734.04</v>
      </c>
    </row>
    <row r="51" spans="1:24">
      <c r="A51" s="492" t="s">
        <v>423</v>
      </c>
      <c r="B51" s="492" t="s">
        <v>516</v>
      </c>
      <c r="C51" s="492" t="s">
        <v>214</v>
      </c>
      <c r="D51" s="492" t="s">
        <v>542</v>
      </c>
      <c r="E51" s="492" t="s">
        <v>543</v>
      </c>
      <c r="F51" s="493">
        <v>2</v>
      </c>
      <c r="G51" s="494" t="s">
        <v>192</v>
      </c>
      <c r="H51" s="495">
        <v>184720</v>
      </c>
      <c r="I51" s="496">
        <f t="shared" si="2"/>
        <v>73888</v>
      </c>
      <c r="J51" s="500">
        <v>83960</v>
      </c>
      <c r="K51" s="492"/>
      <c r="L51" s="497">
        <f t="shared" si="3"/>
        <v>-0.13631442182763109</v>
      </c>
      <c r="M51" s="492" t="s">
        <v>541</v>
      </c>
      <c r="N51" s="492" t="s">
        <v>520</v>
      </c>
      <c r="O51" s="492" t="s">
        <v>429</v>
      </c>
      <c r="P51" s="492" t="s">
        <v>521</v>
      </c>
      <c r="Q51" s="492" t="s">
        <v>431</v>
      </c>
      <c r="R51" s="492" t="s">
        <v>432</v>
      </c>
      <c r="S51" s="499">
        <v>42207</v>
      </c>
      <c r="T51" s="492" t="s">
        <v>433</v>
      </c>
      <c r="U51" s="492" t="s">
        <v>432</v>
      </c>
      <c r="V51" s="499"/>
      <c r="W51" s="499">
        <v>42246</v>
      </c>
      <c r="X51" s="500">
        <v>132476.20000000001</v>
      </c>
    </row>
    <row r="52" spans="1:24">
      <c r="A52" s="492" t="s">
        <v>423</v>
      </c>
      <c r="B52" s="492" t="s">
        <v>516</v>
      </c>
      <c r="C52" s="492" t="s">
        <v>216</v>
      </c>
      <c r="D52" s="492" t="s">
        <v>544</v>
      </c>
      <c r="E52" s="492" t="s">
        <v>545</v>
      </c>
      <c r="F52" s="493">
        <v>2</v>
      </c>
      <c r="G52" s="494" t="s">
        <v>192</v>
      </c>
      <c r="H52" s="495">
        <v>37390</v>
      </c>
      <c r="I52" s="496">
        <f t="shared" si="2"/>
        <v>14956</v>
      </c>
      <c r="J52" s="500">
        <v>18695</v>
      </c>
      <c r="K52" s="502" t="s">
        <v>489</v>
      </c>
      <c r="L52" s="497">
        <f t="shared" si="3"/>
        <v>-0.25</v>
      </c>
      <c r="M52" s="492" t="s">
        <v>541</v>
      </c>
      <c r="N52" s="492" t="s">
        <v>520</v>
      </c>
      <c r="O52" s="492" t="s">
        <v>429</v>
      </c>
      <c r="P52" s="492" t="s">
        <v>521</v>
      </c>
      <c r="Q52" s="492" t="s">
        <v>431</v>
      </c>
      <c r="R52" s="492" t="s">
        <v>432</v>
      </c>
      <c r="S52" s="499">
        <v>42207</v>
      </c>
      <c r="T52" s="492" t="s">
        <v>433</v>
      </c>
      <c r="U52" s="492" t="s">
        <v>432</v>
      </c>
      <c r="V52" s="499"/>
      <c r="W52" s="499">
        <v>42246</v>
      </c>
      <c r="X52" s="500">
        <v>37390</v>
      </c>
    </row>
    <row r="53" spans="1:24">
      <c r="A53" s="492" t="s">
        <v>423</v>
      </c>
      <c r="B53" s="492" t="s">
        <v>516</v>
      </c>
      <c r="C53" s="492" t="s">
        <v>218</v>
      </c>
      <c r="D53" s="492" t="s">
        <v>546</v>
      </c>
      <c r="E53" s="492" t="s">
        <v>547</v>
      </c>
      <c r="F53" s="493">
        <v>12</v>
      </c>
      <c r="G53" s="494" t="s">
        <v>192</v>
      </c>
      <c r="H53" s="495">
        <v>1640</v>
      </c>
      <c r="I53" s="496">
        <f t="shared" si="2"/>
        <v>656</v>
      </c>
      <c r="J53" s="353">
        <v>740</v>
      </c>
      <c r="K53" s="492"/>
      <c r="L53" s="497">
        <f t="shared" si="3"/>
        <v>-0.12804878048780477</v>
      </c>
      <c r="M53" s="492" t="s">
        <v>541</v>
      </c>
      <c r="N53" s="492" t="s">
        <v>520</v>
      </c>
      <c r="O53" s="492" t="s">
        <v>429</v>
      </c>
      <c r="P53" s="492" t="s">
        <v>521</v>
      </c>
      <c r="Q53" s="492" t="s">
        <v>431</v>
      </c>
      <c r="R53" s="492" t="s">
        <v>432</v>
      </c>
      <c r="S53" s="499">
        <v>42207</v>
      </c>
      <c r="T53" s="492" t="s">
        <v>433</v>
      </c>
      <c r="U53" s="492" t="s">
        <v>432</v>
      </c>
      <c r="V53" s="499"/>
      <c r="W53" s="499">
        <v>42246</v>
      </c>
      <c r="X53" s="500">
        <v>8274.6</v>
      </c>
    </row>
    <row r="54" spans="1:24">
      <c r="A54" s="492" t="s">
        <v>423</v>
      </c>
      <c r="B54" s="492" t="s">
        <v>516</v>
      </c>
      <c r="C54" s="492" t="s">
        <v>220</v>
      </c>
      <c r="D54" s="492" t="s">
        <v>537</v>
      </c>
      <c r="E54" s="492" t="s">
        <v>538</v>
      </c>
      <c r="F54" s="493">
        <v>12</v>
      </c>
      <c r="G54" s="494" t="s">
        <v>192</v>
      </c>
      <c r="H54" s="495">
        <v>1530</v>
      </c>
      <c r="I54" s="496">
        <f t="shared" si="2"/>
        <v>612</v>
      </c>
      <c r="J54" s="353">
        <v>760</v>
      </c>
      <c r="K54" s="492"/>
      <c r="L54" s="497">
        <f t="shared" si="3"/>
        <v>-0.24183006535947715</v>
      </c>
      <c r="M54" s="492" t="s">
        <v>541</v>
      </c>
      <c r="N54" s="492" t="s">
        <v>520</v>
      </c>
      <c r="O54" s="492" t="s">
        <v>429</v>
      </c>
      <c r="P54" s="492" t="s">
        <v>521</v>
      </c>
      <c r="Q54" s="492" t="s">
        <v>431</v>
      </c>
      <c r="R54" s="492" t="s">
        <v>432</v>
      </c>
      <c r="S54" s="499">
        <v>42207</v>
      </c>
      <c r="T54" s="492" t="s">
        <v>433</v>
      </c>
      <c r="U54" s="492" t="s">
        <v>432</v>
      </c>
      <c r="V54" s="499"/>
      <c r="W54" s="499">
        <v>42246</v>
      </c>
      <c r="X54" s="500">
        <v>7753.8</v>
      </c>
    </row>
    <row r="55" spans="1:24">
      <c r="A55" s="492" t="s">
        <v>423</v>
      </c>
      <c r="B55" s="492" t="s">
        <v>516</v>
      </c>
      <c r="C55" s="492" t="s">
        <v>222</v>
      </c>
      <c r="D55" s="492" t="s">
        <v>548</v>
      </c>
      <c r="E55" s="492" t="s">
        <v>549</v>
      </c>
      <c r="F55" s="493">
        <v>2</v>
      </c>
      <c r="G55" s="494" t="s">
        <v>192</v>
      </c>
      <c r="H55" s="495">
        <v>184710</v>
      </c>
      <c r="I55" s="496">
        <f>J55*1.1</f>
        <v>22359.48</v>
      </c>
      <c r="J55" s="500">
        <v>20326.8</v>
      </c>
      <c r="K55" s="492"/>
      <c r="L55" s="514">
        <f t="shared" si="3"/>
        <v>9.0909090909090939E-2</v>
      </c>
      <c r="M55" s="492" t="s">
        <v>550</v>
      </c>
      <c r="N55" s="492" t="s">
        <v>520</v>
      </c>
      <c r="O55" s="492" t="s">
        <v>429</v>
      </c>
      <c r="P55" s="492" t="s">
        <v>521</v>
      </c>
      <c r="Q55" s="492" t="s">
        <v>431</v>
      </c>
      <c r="R55" s="492" t="s">
        <v>432</v>
      </c>
      <c r="S55" s="499">
        <v>42207</v>
      </c>
      <c r="T55" s="492" t="s">
        <v>433</v>
      </c>
      <c r="U55" s="492" t="s">
        <v>432</v>
      </c>
      <c r="V55" s="499"/>
      <c r="W55" s="499">
        <v>42246</v>
      </c>
      <c r="X55" s="500">
        <v>35220.1</v>
      </c>
    </row>
    <row r="56" spans="1:24">
      <c r="A56" s="492" t="s">
        <v>423</v>
      </c>
      <c r="B56" s="492" t="s">
        <v>516</v>
      </c>
      <c r="C56" s="492" t="s">
        <v>224</v>
      </c>
      <c r="D56" s="492" t="s">
        <v>551</v>
      </c>
      <c r="E56" s="492" t="s">
        <v>552</v>
      </c>
      <c r="F56" s="493">
        <v>6</v>
      </c>
      <c r="G56" s="494" t="s">
        <v>192</v>
      </c>
      <c r="H56" s="495">
        <v>2510</v>
      </c>
      <c r="I56" s="496">
        <f t="shared" si="2"/>
        <v>1004</v>
      </c>
      <c r="J56" s="500">
        <v>1130</v>
      </c>
      <c r="K56" s="492"/>
      <c r="L56" s="497">
        <f t="shared" si="3"/>
        <v>-0.1254980079681276</v>
      </c>
      <c r="M56" s="492" t="s">
        <v>550</v>
      </c>
      <c r="N56" s="492" t="s">
        <v>520</v>
      </c>
      <c r="O56" s="492" t="s">
        <v>429</v>
      </c>
      <c r="P56" s="492" t="s">
        <v>521</v>
      </c>
      <c r="Q56" s="492" t="s">
        <v>431</v>
      </c>
      <c r="R56" s="492" t="s">
        <v>432</v>
      </c>
      <c r="S56" s="499">
        <v>42207</v>
      </c>
      <c r="T56" s="492" t="s">
        <v>433</v>
      </c>
      <c r="U56" s="492" t="s">
        <v>432</v>
      </c>
      <c r="V56" s="499"/>
      <c r="W56" s="499">
        <v>42246</v>
      </c>
      <c r="X56" s="500">
        <v>6636</v>
      </c>
    </row>
    <row r="57" spans="1:24">
      <c r="A57" s="492" t="s">
        <v>423</v>
      </c>
      <c r="B57" s="492" t="s">
        <v>516</v>
      </c>
      <c r="C57" s="492" t="s">
        <v>315</v>
      </c>
      <c r="D57" s="492" t="s">
        <v>553</v>
      </c>
      <c r="E57" s="492" t="s">
        <v>554</v>
      </c>
      <c r="F57" s="493">
        <v>12</v>
      </c>
      <c r="G57" s="494" t="s">
        <v>192</v>
      </c>
      <c r="H57" s="495">
        <v>1640</v>
      </c>
      <c r="I57" s="496">
        <f t="shared" si="2"/>
        <v>656</v>
      </c>
      <c r="J57" s="353">
        <v>740</v>
      </c>
      <c r="K57" s="492"/>
      <c r="L57" s="497">
        <f t="shared" si="3"/>
        <v>-0.12804878048780477</v>
      </c>
      <c r="M57" s="492" t="s">
        <v>550</v>
      </c>
      <c r="N57" s="492" t="s">
        <v>520</v>
      </c>
      <c r="O57" s="492" t="s">
        <v>429</v>
      </c>
      <c r="P57" s="492" t="s">
        <v>521</v>
      </c>
      <c r="Q57" s="492" t="s">
        <v>431</v>
      </c>
      <c r="R57" s="492" t="s">
        <v>432</v>
      </c>
      <c r="S57" s="499">
        <v>42207</v>
      </c>
      <c r="T57" s="492" t="s">
        <v>433</v>
      </c>
      <c r="U57" s="492" t="s">
        <v>432</v>
      </c>
      <c r="V57" s="499"/>
      <c r="W57" s="499">
        <v>42246</v>
      </c>
      <c r="X57" s="500">
        <v>8880</v>
      </c>
    </row>
    <row r="58" spans="1:24">
      <c r="A58" s="492" t="s">
        <v>423</v>
      </c>
      <c r="B58" s="492" t="s">
        <v>516</v>
      </c>
      <c r="C58" s="492" t="s">
        <v>318</v>
      </c>
      <c r="D58" s="492" t="s">
        <v>555</v>
      </c>
      <c r="E58" s="492" t="s">
        <v>556</v>
      </c>
      <c r="F58" s="493">
        <v>12</v>
      </c>
      <c r="G58" s="494" t="s">
        <v>192</v>
      </c>
      <c r="H58" s="495">
        <v>1160</v>
      </c>
      <c r="I58" s="496">
        <f t="shared" si="2"/>
        <v>464</v>
      </c>
      <c r="J58" s="353">
        <v>580</v>
      </c>
      <c r="K58" s="502" t="s">
        <v>489</v>
      </c>
      <c r="L58" s="497">
        <f t="shared" si="3"/>
        <v>-0.25</v>
      </c>
      <c r="M58" s="492" t="s">
        <v>550</v>
      </c>
      <c r="N58" s="492" t="s">
        <v>520</v>
      </c>
      <c r="O58" s="492" t="s">
        <v>429</v>
      </c>
      <c r="P58" s="492" t="s">
        <v>521</v>
      </c>
      <c r="Q58" s="492" t="s">
        <v>431</v>
      </c>
      <c r="R58" s="492" t="s">
        <v>432</v>
      </c>
      <c r="S58" s="499">
        <v>42207</v>
      </c>
      <c r="T58" s="492" t="s">
        <v>433</v>
      </c>
      <c r="U58" s="492" t="s">
        <v>432</v>
      </c>
      <c r="V58" s="499"/>
      <c r="W58" s="499">
        <v>42246</v>
      </c>
      <c r="X58" s="500">
        <v>6837.48</v>
      </c>
    </row>
    <row r="59" spans="1:24">
      <c r="A59" s="492" t="s">
        <v>423</v>
      </c>
      <c r="B59" s="492" t="s">
        <v>516</v>
      </c>
      <c r="C59" s="492" t="s">
        <v>557</v>
      </c>
      <c r="D59" s="492" t="s">
        <v>558</v>
      </c>
      <c r="E59" s="492" t="s">
        <v>559</v>
      </c>
      <c r="F59" s="493">
        <v>12</v>
      </c>
      <c r="G59" s="494" t="s">
        <v>192</v>
      </c>
      <c r="H59" s="495">
        <v>4300</v>
      </c>
      <c r="I59" s="496">
        <f t="shared" si="2"/>
        <v>1720</v>
      </c>
      <c r="J59" s="500">
        <v>2150</v>
      </c>
      <c r="K59" s="492"/>
      <c r="L59" s="497">
        <f t="shared" si="3"/>
        <v>-0.25</v>
      </c>
      <c r="M59" s="492" t="s">
        <v>550</v>
      </c>
      <c r="N59" s="492" t="s">
        <v>520</v>
      </c>
      <c r="O59" s="492" t="s">
        <v>429</v>
      </c>
      <c r="P59" s="492" t="s">
        <v>521</v>
      </c>
      <c r="Q59" s="492" t="s">
        <v>431</v>
      </c>
      <c r="R59" s="492" t="s">
        <v>432</v>
      </c>
      <c r="S59" s="499">
        <v>42207</v>
      </c>
      <c r="T59" s="492" t="s">
        <v>433</v>
      </c>
      <c r="U59" s="492" t="s">
        <v>432</v>
      </c>
      <c r="V59" s="499"/>
      <c r="W59" s="499">
        <v>42246</v>
      </c>
      <c r="X59" s="500">
        <v>25559.4</v>
      </c>
    </row>
    <row r="60" spans="1:24">
      <c r="A60" s="492" t="s">
        <v>423</v>
      </c>
      <c r="B60" s="492" t="s">
        <v>516</v>
      </c>
      <c r="C60" s="492" t="s">
        <v>560</v>
      </c>
      <c r="D60" s="492" t="s">
        <v>561</v>
      </c>
      <c r="E60" s="492" t="s">
        <v>562</v>
      </c>
      <c r="F60" s="493">
        <v>1</v>
      </c>
      <c r="G60" s="494" t="s">
        <v>192</v>
      </c>
      <c r="H60" s="495">
        <v>37390</v>
      </c>
      <c r="I60" s="496">
        <f t="shared" si="2"/>
        <v>14956</v>
      </c>
      <c r="J60" s="353">
        <v>14956</v>
      </c>
      <c r="K60" s="492"/>
      <c r="L60" s="497"/>
      <c r="M60" s="492" t="s">
        <v>550</v>
      </c>
      <c r="N60" s="492" t="s">
        <v>520</v>
      </c>
      <c r="O60" s="492" t="s">
        <v>429</v>
      </c>
      <c r="P60" s="492" t="s">
        <v>521</v>
      </c>
      <c r="Q60" s="492" t="s">
        <v>431</v>
      </c>
      <c r="R60" s="492" t="s">
        <v>432</v>
      </c>
      <c r="S60" s="499">
        <v>42207</v>
      </c>
      <c r="T60" s="492" t="s">
        <v>433</v>
      </c>
      <c r="U60" s="492" t="s">
        <v>432</v>
      </c>
      <c r="V60" s="499"/>
      <c r="W60" s="499">
        <v>42246</v>
      </c>
      <c r="X60" s="500">
        <v>11480.82</v>
      </c>
    </row>
    <row r="61" spans="1:24">
      <c r="A61" s="492" t="s">
        <v>423</v>
      </c>
      <c r="B61" s="492" t="s">
        <v>516</v>
      </c>
      <c r="C61" s="492" t="s">
        <v>563</v>
      </c>
      <c r="D61" s="492" t="s">
        <v>564</v>
      </c>
      <c r="E61" s="492" t="s">
        <v>565</v>
      </c>
      <c r="F61" s="493">
        <v>2</v>
      </c>
      <c r="G61" s="494" t="s">
        <v>192</v>
      </c>
      <c r="H61" s="495">
        <v>206300</v>
      </c>
      <c r="I61" s="496">
        <f t="shared" si="2"/>
        <v>82520</v>
      </c>
      <c r="J61" s="353">
        <v>82520</v>
      </c>
      <c r="K61" s="492"/>
      <c r="L61" s="497"/>
      <c r="M61" s="492" t="s">
        <v>566</v>
      </c>
      <c r="N61" s="492" t="s">
        <v>520</v>
      </c>
      <c r="O61" s="492" t="s">
        <v>429</v>
      </c>
      <c r="P61" s="492" t="s">
        <v>521</v>
      </c>
      <c r="Q61" s="492" t="s">
        <v>431</v>
      </c>
      <c r="R61" s="492" t="s">
        <v>432</v>
      </c>
      <c r="S61" s="499">
        <v>42207</v>
      </c>
      <c r="T61" s="492" t="s">
        <v>433</v>
      </c>
      <c r="U61" s="492" t="s">
        <v>432</v>
      </c>
      <c r="V61" s="499"/>
      <c r="W61" s="499">
        <v>42246</v>
      </c>
      <c r="X61" s="500">
        <v>174468.56</v>
      </c>
    </row>
    <row r="62" spans="1:24">
      <c r="A62" s="492" t="s">
        <v>423</v>
      </c>
      <c r="B62" s="492" t="s">
        <v>516</v>
      </c>
      <c r="C62" s="492" t="s">
        <v>567</v>
      </c>
      <c r="D62" s="492" t="s">
        <v>568</v>
      </c>
      <c r="E62" s="492" t="s">
        <v>569</v>
      </c>
      <c r="F62" s="493">
        <v>1</v>
      </c>
      <c r="G62" s="494" t="s">
        <v>192</v>
      </c>
      <c r="H62" s="495">
        <v>205350</v>
      </c>
      <c r="I62" s="496">
        <f t="shared" si="2"/>
        <v>82140</v>
      </c>
      <c r="J62" s="500">
        <v>116280</v>
      </c>
      <c r="K62" s="492"/>
      <c r="L62" s="497">
        <f t="shared" si="3"/>
        <v>-0.41563184806428044</v>
      </c>
      <c r="M62" s="492" t="s">
        <v>570</v>
      </c>
      <c r="N62" s="492" t="s">
        <v>520</v>
      </c>
      <c r="O62" s="492" t="s">
        <v>429</v>
      </c>
      <c r="P62" s="492" t="s">
        <v>521</v>
      </c>
      <c r="Q62" s="492" t="s">
        <v>431</v>
      </c>
      <c r="R62" s="492" t="s">
        <v>432</v>
      </c>
      <c r="S62" s="499">
        <v>42207</v>
      </c>
      <c r="T62" s="492" t="s">
        <v>433</v>
      </c>
      <c r="U62" s="492" t="s">
        <v>432</v>
      </c>
      <c r="V62" s="499"/>
      <c r="W62" s="499">
        <v>42246</v>
      </c>
      <c r="X62" s="500">
        <v>99989.62</v>
      </c>
    </row>
    <row r="63" spans="1:24">
      <c r="A63" s="492" t="s">
        <v>423</v>
      </c>
      <c r="B63" s="492" t="s">
        <v>516</v>
      </c>
      <c r="C63" s="492" t="s">
        <v>571</v>
      </c>
      <c r="D63" s="492" t="s">
        <v>572</v>
      </c>
      <c r="E63" s="492" t="s">
        <v>573</v>
      </c>
      <c r="F63" s="493">
        <v>2</v>
      </c>
      <c r="G63" s="494" t="s">
        <v>192</v>
      </c>
      <c r="H63" s="495">
        <v>255820</v>
      </c>
      <c r="I63" s="496">
        <f t="shared" si="2"/>
        <v>102328</v>
      </c>
      <c r="J63" s="500">
        <v>116280</v>
      </c>
      <c r="K63" s="502" t="s">
        <v>489</v>
      </c>
      <c r="L63" s="497">
        <f t="shared" si="3"/>
        <v>-0.13634586818857009</v>
      </c>
      <c r="M63" s="492" t="s">
        <v>570</v>
      </c>
      <c r="N63" s="492" t="s">
        <v>520</v>
      </c>
      <c r="O63" s="492" t="s">
        <v>429</v>
      </c>
      <c r="P63" s="492" t="s">
        <v>521</v>
      </c>
      <c r="Q63" s="492" t="s">
        <v>431</v>
      </c>
      <c r="R63" s="492" t="s">
        <v>432</v>
      </c>
      <c r="S63" s="499">
        <v>42207</v>
      </c>
      <c r="T63" s="492" t="s">
        <v>433</v>
      </c>
      <c r="U63" s="492" t="s">
        <v>432</v>
      </c>
      <c r="V63" s="499"/>
      <c r="W63" s="499">
        <v>42246</v>
      </c>
      <c r="X63" s="500">
        <v>230063.86</v>
      </c>
    </row>
    <row r="64" spans="1:24">
      <c r="A64" s="492" t="s">
        <v>423</v>
      </c>
      <c r="B64" s="492" t="s">
        <v>516</v>
      </c>
      <c r="C64" s="492" t="s">
        <v>574</v>
      </c>
      <c r="D64" s="492" t="s">
        <v>575</v>
      </c>
      <c r="E64" s="492" t="s">
        <v>576</v>
      </c>
      <c r="F64" s="493">
        <v>1</v>
      </c>
      <c r="G64" s="494" t="s">
        <v>192</v>
      </c>
      <c r="H64" s="495">
        <v>33650</v>
      </c>
      <c r="I64" s="496">
        <f t="shared" si="2"/>
        <v>13460</v>
      </c>
      <c r="J64" s="500">
        <v>16825</v>
      </c>
      <c r="K64" s="492"/>
      <c r="L64" s="497">
        <f t="shared" si="3"/>
        <v>-0.25</v>
      </c>
      <c r="M64" s="492" t="s">
        <v>570</v>
      </c>
      <c r="N64" s="492" t="s">
        <v>520</v>
      </c>
      <c r="O64" s="492" t="s">
        <v>429</v>
      </c>
      <c r="P64" s="492" t="s">
        <v>521</v>
      </c>
      <c r="Q64" s="492" t="s">
        <v>431</v>
      </c>
      <c r="R64" s="492" t="s">
        <v>432</v>
      </c>
      <c r="S64" s="499">
        <v>42207</v>
      </c>
      <c r="T64" s="492" t="s">
        <v>433</v>
      </c>
      <c r="U64" s="492" t="s">
        <v>432</v>
      </c>
      <c r="V64" s="499"/>
      <c r="W64" s="499">
        <v>42246</v>
      </c>
      <c r="X64" s="500">
        <v>11190.77</v>
      </c>
    </row>
    <row r="65" spans="1:24">
      <c r="A65" s="492" t="s">
        <v>423</v>
      </c>
      <c r="B65" s="492" t="s">
        <v>516</v>
      </c>
      <c r="C65" s="492" t="s">
        <v>577</v>
      </c>
      <c r="D65" s="492" t="s">
        <v>578</v>
      </c>
      <c r="E65" s="492" t="s">
        <v>579</v>
      </c>
      <c r="F65" s="493">
        <v>2</v>
      </c>
      <c r="G65" s="494" t="s">
        <v>192</v>
      </c>
      <c r="H65" s="495">
        <v>33650</v>
      </c>
      <c r="I65" s="496">
        <f t="shared" si="2"/>
        <v>13460</v>
      </c>
      <c r="J65" s="500">
        <v>17260</v>
      </c>
      <c r="K65" s="492"/>
      <c r="L65" s="497">
        <f t="shared" si="3"/>
        <v>-0.28231797919762269</v>
      </c>
      <c r="M65" s="492" t="s">
        <v>570</v>
      </c>
      <c r="N65" s="492" t="s">
        <v>520</v>
      </c>
      <c r="O65" s="492" t="s">
        <v>429</v>
      </c>
      <c r="P65" s="492" t="s">
        <v>521</v>
      </c>
      <c r="Q65" s="492" t="s">
        <v>431</v>
      </c>
      <c r="R65" s="492" t="s">
        <v>432</v>
      </c>
      <c r="S65" s="499">
        <v>42207</v>
      </c>
      <c r="T65" s="492" t="s">
        <v>433</v>
      </c>
      <c r="U65" s="492" t="s">
        <v>432</v>
      </c>
      <c r="V65" s="499"/>
      <c r="W65" s="499">
        <v>42246</v>
      </c>
      <c r="X65" s="500">
        <v>32655.9</v>
      </c>
    </row>
    <row r="66" spans="1:24">
      <c r="A66" s="492" t="s">
        <v>423</v>
      </c>
      <c r="B66" s="492" t="s">
        <v>516</v>
      </c>
      <c r="C66" s="492" t="s">
        <v>580</v>
      </c>
      <c r="D66" s="492" t="s">
        <v>581</v>
      </c>
      <c r="E66" s="492" t="s">
        <v>582</v>
      </c>
      <c r="F66" s="493">
        <v>2</v>
      </c>
      <c r="G66" s="494" t="s">
        <v>192</v>
      </c>
      <c r="H66" s="495">
        <v>17440</v>
      </c>
      <c r="I66" s="496">
        <f t="shared" si="2"/>
        <v>6976</v>
      </c>
      <c r="J66" s="500">
        <v>7925</v>
      </c>
      <c r="K66" s="492"/>
      <c r="L66" s="497">
        <f t="shared" si="3"/>
        <v>-0.13603784403669716</v>
      </c>
      <c r="M66" s="492" t="s">
        <v>570</v>
      </c>
      <c r="N66" s="492" t="s">
        <v>520</v>
      </c>
      <c r="O66" s="492" t="s">
        <v>429</v>
      </c>
      <c r="P66" s="492" t="s">
        <v>521</v>
      </c>
      <c r="Q66" s="492" t="s">
        <v>431</v>
      </c>
      <c r="R66" s="492" t="s">
        <v>432</v>
      </c>
      <c r="S66" s="499">
        <v>42207</v>
      </c>
      <c r="T66" s="492" t="s">
        <v>433</v>
      </c>
      <c r="U66" s="492" t="s">
        <v>432</v>
      </c>
      <c r="V66" s="499"/>
      <c r="W66" s="499">
        <v>42246</v>
      </c>
      <c r="X66" s="500">
        <v>15860.2</v>
      </c>
    </row>
    <row r="67" spans="1:24">
      <c r="A67" s="492" t="s">
        <v>423</v>
      </c>
      <c r="B67" s="492" t="s">
        <v>516</v>
      </c>
      <c r="C67" s="492" t="s">
        <v>583</v>
      </c>
      <c r="D67" s="492" t="s">
        <v>584</v>
      </c>
      <c r="E67" s="492" t="s">
        <v>585</v>
      </c>
      <c r="F67" s="493">
        <v>6</v>
      </c>
      <c r="G67" s="494" t="s">
        <v>192</v>
      </c>
      <c r="H67" s="495">
        <v>1690</v>
      </c>
      <c r="I67" s="496">
        <f t="shared" si="2"/>
        <v>676</v>
      </c>
      <c r="J67" s="353">
        <v>760</v>
      </c>
      <c r="K67" s="492"/>
      <c r="L67" s="497">
        <f t="shared" si="3"/>
        <v>-0.12426035502958577</v>
      </c>
      <c r="M67" s="492" t="s">
        <v>570</v>
      </c>
      <c r="N67" s="492" t="s">
        <v>520</v>
      </c>
      <c r="O67" s="492" t="s">
        <v>429</v>
      </c>
      <c r="P67" s="492" t="s">
        <v>521</v>
      </c>
      <c r="Q67" s="492" t="s">
        <v>431</v>
      </c>
      <c r="R67" s="492" t="s">
        <v>432</v>
      </c>
      <c r="S67" s="499">
        <v>42207</v>
      </c>
      <c r="T67" s="492" t="s">
        <v>433</v>
      </c>
      <c r="U67" s="492" t="s">
        <v>432</v>
      </c>
      <c r="V67" s="499"/>
      <c r="W67" s="499">
        <v>42246</v>
      </c>
      <c r="X67" s="500">
        <v>4460.6400000000003</v>
      </c>
    </row>
    <row r="68" spans="1:24">
      <c r="A68" s="492" t="s">
        <v>423</v>
      </c>
      <c r="B68" s="492" t="s">
        <v>516</v>
      </c>
      <c r="C68" s="492" t="s">
        <v>586</v>
      </c>
      <c r="D68" s="492" t="s">
        <v>587</v>
      </c>
      <c r="E68" s="492" t="s">
        <v>588</v>
      </c>
      <c r="F68" s="493">
        <v>6</v>
      </c>
      <c r="G68" s="494" t="s">
        <v>192</v>
      </c>
      <c r="H68" s="495">
        <v>2310</v>
      </c>
      <c r="I68" s="496">
        <f t="shared" si="2"/>
        <v>924</v>
      </c>
      <c r="J68" s="500">
        <v>1155</v>
      </c>
      <c r="K68" s="492"/>
      <c r="L68" s="497">
        <f t="shared" si="3"/>
        <v>-0.25</v>
      </c>
      <c r="M68" s="492" t="s">
        <v>570</v>
      </c>
      <c r="N68" s="492" t="s">
        <v>520</v>
      </c>
      <c r="O68" s="492" t="s">
        <v>429</v>
      </c>
      <c r="P68" s="492" t="s">
        <v>521</v>
      </c>
      <c r="Q68" s="492" t="s">
        <v>431</v>
      </c>
      <c r="R68" s="492" t="s">
        <v>432</v>
      </c>
      <c r="S68" s="499">
        <v>42207</v>
      </c>
      <c r="T68" s="492" t="s">
        <v>433</v>
      </c>
      <c r="U68" s="492" t="s">
        <v>432</v>
      </c>
      <c r="V68" s="499"/>
      <c r="W68" s="499">
        <v>42246</v>
      </c>
      <c r="X68" s="500">
        <v>6534.54</v>
      </c>
    </row>
    <row r="69" spans="1:24">
      <c r="A69" s="492" t="s">
        <v>423</v>
      </c>
      <c r="B69" s="492" t="s">
        <v>516</v>
      </c>
      <c r="C69" s="492" t="s">
        <v>589</v>
      </c>
      <c r="D69" s="492" t="s">
        <v>590</v>
      </c>
      <c r="E69" s="492" t="s">
        <v>591</v>
      </c>
      <c r="F69" s="493">
        <v>12</v>
      </c>
      <c r="G69" s="494" t="s">
        <v>192</v>
      </c>
      <c r="H69" s="495">
        <v>1690</v>
      </c>
      <c r="I69" s="496">
        <f t="shared" si="2"/>
        <v>676</v>
      </c>
      <c r="J69" s="353">
        <v>760</v>
      </c>
      <c r="K69" s="492"/>
      <c r="L69" s="497">
        <f t="shared" si="3"/>
        <v>-0.12426035502958577</v>
      </c>
      <c r="M69" s="492" t="s">
        <v>570</v>
      </c>
      <c r="N69" s="492" t="s">
        <v>520</v>
      </c>
      <c r="O69" s="492" t="s">
        <v>429</v>
      </c>
      <c r="P69" s="492" t="s">
        <v>521</v>
      </c>
      <c r="Q69" s="492" t="s">
        <v>431</v>
      </c>
      <c r="R69" s="492" t="s">
        <v>432</v>
      </c>
      <c r="S69" s="499">
        <v>42207</v>
      </c>
      <c r="T69" s="492" t="s">
        <v>433</v>
      </c>
      <c r="U69" s="492" t="s">
        <v>432</v>
      </c>
      <c r="V69" s="499"/>
      <c r="W69" s="499">
        <v>42246</v>
      </c>
      <c r="X69" s="500">
        <v>8833.68</v>
      </c>
    </row>
    <row r="70" spans="1:24">
      <c r="A70" s="492" t="s">
        <v>423</v>
      </c>
      <c r="B70" s="492" t="s">
        <v>516</v>
      </c>
      <c r="C70" s="492" t="s">
        <v>592</v>
      </c>
      <c r="D70" s="492" t="s">
        <v>593</v>
      </c>
      <c r="E70" s="492" t="s">
        <v>594</v>
      </c>
      <c r="F70" s="493">
        <v>6</v>
      </c>
      <c r="G70" s="494" t="s">
        <v>192</v>
      </c>
      <c r="H70" s="495">
        <v>4940</v>
      </c>
      <c r="I70" s="496">
        <f t="shared" si="2"/>
        <v>1976</v>
      </c>
      <c r="J70" s="500">
        <v>2135</v>
      </c>
      <c r="K70" s="502" t="s">
        <v>489</v>
      </c>
      <c r="L70" s="497">
        <f t="shared" si="3"/>
        <v>-8.0465587044534326E-2</v>
      </c>
      <c r="M70" s="492" t="s">
        <v>570</v>
      </c>
      <c r="N70" s="492" t="s">
        <v>520</v>
      </c>
      <c r="O70" s="492" t="s">
        <v>429</v>
      </c>
      <c r="P70" s="492" t="s">
        <v>521</v>
      </c>
      <c r="Q70" s="492" t="s">
        <v>431</v>
      </c>
      <c r="R70" s="492" t="s">
        <v>432</v>
      </c>
      <c r="S70" s="499">
        <v>42207</v>
      </c>
      <c r="T70" s="492" t="s">
        <v>433</v>
      </c>
      <c r="U70" s="492" t="s">
        <v>432</v>
      </c>
      <c r="V70" s="499"/>
      <c r="W70" s="499">
        <v>42246</v>
      </c>
      <c r="X70" s="500">
        <v>12832.38</v>
      </c>
    </row>
    <row r="71" spans="1:24">
      <c r="A71" s="492" t="s">
        <v>423</v>
      </c>
      <c r="B71" s="492" t="s">
        <v>595</v>
      </c>
      <c r="C71" s="492" t="s">
        <v>136</v>
      </c>
      <c r="D71" s="492" t="s">
        <v>596</v>
      </c>
      <c r="E71" s="492" t="s">
        <v>597</v>
      </c>
      <c r="F71" s="493">
        <v>6</v>
      </c>
      <c r="G71" s="494" t="s">
        <v>192</v>
      </c>
      <c r="H71" s="495">
        <v>1840</v>
      </c>
      <c r="I71" s="496">
        <f t="shared" si="2"/>
        <v>736</v>
      </c>
      <c r="J71" s="353">
        <v>760</v>
      </c>
      <c r="K71" s="492"/>
      <c r="L71" s="497">
        <f t="shared" si="3"/>
        <v>-3.2608695652173836E-2</v>
      </c>
      <c r="M71" s="492" t="s">
        <v>598</v>
      </c>
      <c r="N71" s="492" t="s">
        <v>520</v>
      </c>
      <c r="O71" s="492" t="s">
        <v>429</v>
      </c>
      <c r="P71" s="492" t="s">
        <v>521</v>
      </c>
      <c r="Q71" s="492" t="s">
        <v>431</v>
      </c>
      <c r="R71" s="492" t="s">
        <v>432</v>
      </c>
      <c r="S71" s="499">
        <v>42207</v>
      </c>
      <c r="T71" s="492" t="s">
        <v>433</v>
      </c>
      <c r="U71" s="492" t="s">
        <v>432</v>
      </c>
      <c r="V71" s="499"/>
      <c r="W71" s="499">
        <v>42246</v>
      </c>
      <c r="X71" s="500">
        <v>5401.92</v>
      </c>
    </row>
    <row r="72" spans="1:24">
      <c r="A72" s="492" t="s">
        <v>423</v>
      </c>
      <c r="B72" s="492" t="s">
        <v>595</v>
      </c>
      <c r="C72" s="492" t="s">
        <v>147</v>
      </c>
      <c r="D72" s="492" t="s">
        <v>599</v>
      </c>
      <c r="E72" s="492" t="s">
        <v>600</v>
      </c>
      <c r="F72" s="493">
        <v>6</v>
      </c>
      <c r="G72" s="494" t="s">
        <v>192</v>
      </c>
      <c r="H72" s="495">
        <v>4260</v>
      </c>
      <c r="I72" s="496">
        <f t="shared" si="2"/>
        <v>1704</v>
      </c>
      <c r="J72" s="500">
        <v>2060</v>
      </c>
      <c r="K72" s="492"/>
      <c r="L72" s="497">
        <f t="shared" si="3"/>
        <v>-0.20892018779342725</v>
      </c>
      <c r="M72" s="492" t="s">
        <v>598</v>
      </c>
      <c r="N72" s="492" t="s">
        <v>520</v>
      </c>
      <c r="O72" s="492" t="s">
        <v>429</v>
      </c>
      <c r="P72" s="492" t="s">
        <v>521</v>
      </c>
      <c r="Q72" s="492" t="s">
        <v>431</v>
      </c>
      <c r="R72" s="492" t="s">
        <v>432</v>
      </c>
      <c r="S72" s="499">
        <v>42207</v>
      </c>
      <c r="T72" s="492" t="s">
        <v>433</v>
      </c>
      <c r="U72" s="492" t="s">
        <v>432</v>
      </c>
      <c r="V72" s="499"/>
      <c r="W72" s="499">
        <v>42246</v>
      </c>
      <c r="X72" s="500">
        <v>12959.76</v>
      </c>
    </row>
    <row r="73" spans="1:24">
      <c r="A73" s="492" t="s">
        <v>423</v>
      </c>
      <c r="B73" s="492" t="s">
        <v>595</v>
      </c>
      <c r="C73" s="492" t="s">
        <v>150</v>
      </c>
      <c r="D73" s="492" t="s">
        <v>601</v>
      </c>
      <c r="E73" s="492" t="s">
        <v>602</v>
      </c>
      <c r="F73" s="493">
        <v>12</v>
      </c>
      <c r="G73" s="494" t="s">
        <v>192</v>
      </c>
      <c r="H73" s="495">
        <v>1160</v>
      </c>
      <c r="I73" s="496">
        <f t="shared" si="2"/>
        <v>464</v>
      </c>
      <c r="J73" s="353">
        <v>570</v>
      </c>
      <c r="K73" s="492"/>
      <c r="L73" s="497">
        <f t="shared" si="3"/>
        <v>-0.22844827586206895</v>
      </c>
      <c r="M73" s="492" t="s">
        <v>603</v>
      </c>
      <c r="N73" s="492" t="s">
        <v>520</v>
      </c>
      <c r="O73" s="492" t="s">
        <v>429</v>
      </c>
      <c r="P73" s="492" t="s">
        <v>521</v>
      </c>
      <c r="Q73" s="492" t="s">
        <v>431</v>
      </c>
      <c r="R73" s="492" t="s">
        <v>432</v>
      </c>
      <c r="S73" s="499">
        <v>42207</v>
      </c>
      <c r="T73" s="492" t="s">
        <v>433</v>
      </c>
      <c r="U73" s="492" t="s">
        <v>432</v>
      </c>
      <c r="V73" s="499"/>
      <c r="W73" s="499">
        <v>42246</v>
      </c>
      <c r="X73" s="500">
        <v>6842.64</v>
      </c>
    </row>
    <row r="74" spans="1:24">
      <c r="A74" s="492" t="s">
        <v>423</v>
      </c>
      <c r="B74" s="492" t="s">
        <v>595</v>
      </c>
      <c r="C74" s="492" t="s">
        <v>152</v>
      </c>
      <c r="D74" s="492" t="s">
        <v>604</v>
      </c>
      <c r="E74" s="492" t="s">
        <v>605</v>
      </c>
      <c r="F74" s="493">
        <v>6</v>
      </c>
      <c r="G74" s="494" t="s">
        <v>192</v>
      </c>
      <c r="H74" s="495">
        <v>1540</v>
      </c>
      <c r="I74" s="496">
        <f t="shared" si="2"/>
        <v>616</v>
      </c>
      <c r="J74" s="353">
        <v>700</v>
      </c>
      <c r="K74" s="492"/>
      <c r="L74" s="497">
        <f t="shared" si="3"/>
        <v>-0.13636363636363646</v>
      </c>
      <c r="M74" s="492" t="s">
        <v>606</v>
      </c>
      <c r="N74" s="492" t="s">
        <v>520</v>
      </c>
      <c r="O74" s="492" t="s">
        <v>429</v>
      </c>
      <c r="P74" s="492" t="s">
        <v>521</v>
      </c>
      <c r="Q74" s="492" t="s">
        <v>431</v>
      </c>
      <c r="R74" s="492" t="s">
        <v>432</v>
      </c>
      <c r="S74" s="499">
        <v>42207</v>
      </c>
      <c r="T74" s="492" t="s">
        <v>433</v>
      </c>
      <c r="U74" s="492" t="s">
        <v>432</v>
      </c>
      <c r="V74" s="499"/>
      <c r="W74" s="499">
        <v>42246</v>
      </c>
      <c r="X74" s="500">
        <v>4175.46</v>
      </c>
    </row>
    <row r="75" spans="1:24">
      <c r="A75" s="492" t="s">
        <v>423</v>
      </c>
      <c r="B75" s="492" t="s">
        <v>595</v>
      </c>
      <c r="C75" s="492" t="s">
        <v>140</v>
      </c>
      <c r="D75" s="492" t="s">
        <v>607</v>
      </c>
      <c r="E75" s="492" t="s">
        <v>608</v>
      </c>
      <c r="F75" s="493">
        <v>6</v>
      </c>
      <c r="G75" s="494" t="s">
        <v>192</v>
      </c>
      <c r="H75" s="495">
        <v>1680</v>
      </c>
      <c r="I75" s="496">
        <f t="shared" si="2"/>
        <v>672</v>
      </c>
      <c r="J75" s="353">
        <v>930</v>
      </c>
      <c r="K75" s="492"/>
      <c r="L75" s="497">
        <f t="shared" si="3"/>
        <v>-0.3839285714285714</v>
      </c>
      <c r="M75" s="492" t="s">
        <v>606</v>
      </c>
      <c r="N75" s="492" t="s">
        <v>520</v>
      </c>
      <c r="O75" s="492" t="s">
        <v>429</v>
      </c>
      <c r="P75" s="492" t="s">
        <v>521</v>
      </c>
      <c r="Q75" s="492" t="s">
        <v>431</v>
      </c>
      <c r="R75" s="492" t="s">
        <v>432</v>
      </c>
      <c r="S75" s="499">
        <v>42207</v>
      </c>
      <c r="T75" s="492" t="s">
        <v>433</v>
      </c>
      <c r="U75" s="492" t="s">
        <v>432</v>
      </c>
      <c r="V75" s="499"/>
      <c r="W75" s="499">
        <v>42246</v>
      </c>
      <c r="X75" s="500">
        <v>4960.68</v>
      </c>
    </row>
    <row r="76" spans="1:24">
      <c r="A76" s="492" t="s">
        <v>423</v>
      </c>
      <c r="B76" s="492" t="s">
        <v>595</v>
      </c>
      <c r="C76" s="492" t="s">
        <v>202</v>
      </c>
      <c r="D76" s="492" t="s">
        <v>601</v>
      </c>
      <c r="E76" s="492" t="s">
        <v>602</v>
      </c>
      <c r="F76" s="493">
        <v>12</v>
      </c>
      <c r="G76" s="494" t="s">
        <v>192</v>
      </c>
      <c r="H76" s="495">
        <v>1160</v>
      </c>
      <c r="I76" s="496">
        <f t="shared" si="2"/>
        <v>464</v>
      </c>
      <c r="J76" s="353">
        <v>570</v>
      </c>
      <c r="K76" s="492"/>
      <c r="L76" s="497">
        <f t="shared" si="3"/>
        <v>-0.22844827586206895</v>
      </c>
      <c r="M76" s="492" t="s">
        <v>606</v>
      </c>
      <c r="N76" s="492" t="s">
        <v>520</v>
      </c>
      <c r="O76" s="492" t="s">
        <v>429</v>
      </c>
      <c r="P76" s="492" t="s">
        <v>521</v>
      </c>
      <c r="Q76" s="492" t="s">
        <v>431</v>
      </c>
      <c r="R76" s="492" t="s">
        <v>432</v>
      </c>
      <c r="S76" s="499">
        <v>42207</v>
      </c>
      <c r="T76" s="492" t="s">
        <v>433</v>
      </c>
      <c r="U76" s="492" t="s">
        <v>432</v>
      </c>
      <c r="V76" s="499"/>
      <c r="W76" s="499">
        <v>42246</v>
      </c>
      <c r="X76" s="500">
        <v>6842.64</v>
      </c>
    </row>
    <row r="77" spans="1:24">
      <c r="A77" s="492" t="s">
        <v>423</v>
      </c>
      <c r="B77" s="492" t="s">
        <v>595</v>
      </c>
      <c r="C77" s="492" t="s">
        <v>204</v>
      </c>
      <c r="D77" s="492" t="s">
        <v>609</v>
      </c>
      <c r="E77" s="492" t="s">
        <v>610</v>
      </c>
      <c r="F77" s="493">
        <v>6</v>
      </c>
      <c r="G77" s="494" t="s">
        <v>192</v>
      </c>
      <c r="H77" s="495">
        <v>4730</v>
      </c>
      <c r="I77" s="496">
        <f t="shared" si="2"/>
        <v>1892</v>
      </c>
      <c r="J77" s="353">
        <v>1892</v>
      </c>
      <c r="K77" s="492"/>
      <c r="L77" s="497"/>
      <c r="M77" s="492" t="s">
        <v>606</v>
      </c>
      <c r="N77" s="492" t="s">
        <v>520</v>
      </c>
      <c r="O77" s="492" t="s">
        <v>429</v>
      </c>
      <c r="P77" s="492" t="s">
        <v>521</v>
      </c>
      <c r="Q77" s="492" t="s">
        <v>431</v>
      </c>
      <c r="R77" s="492" t="s">
        <v>432</v>
      </c>
      <c r="S77" s="499">
        <v>42207</v>
      </c>
      <c r="T77" s="492" t="s">
        <v>433</v>
      </c>
      <c r="U77" s="492" t="s">
        <v>432</v>
      </c>
      <c r="V77" s="499"/>
      <c r="W77" s="499">
        <v>42246</v>
      </c>
      <c r="X77" s="500">
        <v>12600</v>
      </c>
    </row>
    <row r="78" spans="1:24">
      <c r="A78" s="492" t="s">
        <v>423</v>
      </c>
      <c r="B78" s="492" t="s">
        <v>595</v>
      </c>
      <c r="C78" s="492" t="s">
        <v>206</v>
      </c>
      <c r="D78" s="492" t="s">
        <v>611</v>
      </c>
      <c r="E78" s="492" t="s">
        <v>612</v>
      </c>
      <c r="F78" s="493">
        <v>6</v>
      </c>
      <c r="G78" s="494" t="s">
        <v>192</v>
      </c>
      <c r="H78" s="495">
        <v>1680</v>
      </c>
      <c r="I78" s="496">
        <f t="shared" si="2"/>
        <v>672</v>
      </c>
      <c r="J78" s="353">
        <v>672</v>
      </c>
      <c r="K78" s="492"/>
      <c r="L78" s="497"/>
      <c r="M78" s="492" t="s">
        <v>613</v>
      </c>
      <c r="N78" s="492" t="s">
        <v>520</v>
      </c>
      <c r="O78" s="492" t="s">
        <v>429</v>
      </c>
      <c r="P78" s="492" t="s">
        <v>521</v>
      </c>
      <c r="Q78" s="492" t="s">
        <v>431</v>
      </c>
      <c r="R78" s="492" t="s">
        <v>432</v>
      </c>
      <c r="S78" s="499">
        <v>42207</v>
      </c>
      <c r="T78" s="492" t="s">
        <v>433</v>
      </c>
      <c r="U78" s="492" t="s">
        <v>432</v>
      </c>
      <c r="V78" s="499"/>
      <c r="W78" s="499">
        <v>42246</v>
      </c>
      <c r="X78" s="500">
        <v>4109.3999999999996</v>
      </c>
    </row>
    <row r="79" spans="1:24">
      <c r="A79" s="492" t="s">
        <v>423</v>
      </c>
      <c r="B79" s="492" t="s">
        <v>595</v>
      </c>
      <c r="C79" s="492" t="s">
        <v>209</v>
      </c>
      <c r="D79" s="492" t="s">
        <v>614</v>
      </c>
      <c r="E79" s="492" t="s">
        <v>615</v>
      </c>
      <c r="F79" s="493">
        <v>12</v>
      </c>
      <c r="G79" s="494" t="s">
        <v>192</v>
      </c>
      <c r="H79" s="495">
        <v>1160</v>
      </c>
      <c r="I79" s="496">
        <f t="shared" si="2"/>
        <v>464</v>
      </c>
      <c r="J79" s="353">
        <v>570</v>
      </c>
      <c r="K79" s="492"/>
      <c r="L79" s="497">
        <f t="shared" si="3"/>
        <v>-0.22844827586206895</v>
      </c>
      <c r="M79" s="492" t="s">
        <v>613</v>
      </c>
      <c r="N79" s="492" t="s">
        <v>520</v>
      </c>
      <c r="O79" s="492" t="s">
        <v>429</v>
      </c>
      <c r="P79" s="492" t="s">
        <v>521</v>
      </c>
      <c r="Q79" s="492" t="s">
        <v>431</v>
      </c>
      <c r="R79" s="492" t="s">
        <v>432</v>
      </c>
      <c r="S79" s="499">
        <v>42207</v>
      </c>
      <c r="T79" s="492" t="s">
        <v>433</v>
      </c>
      <c r="U79" s="492" t="s">
        <v>432</v>
      </c>
      <c r="V79" s="499"/>
      <c r="W79" s="499">
        <v>42246</v>
      </c>
      <c r="X79" s="500">
        <v>5618.4</v>
      </c>
    </row>
    <row r="80" spans="1:24">
      <c r="A80" s="492" t="s">
        <v>423</v>
      </c>
      <c r="B80" s="492" t="s">
        <v>595</v>
      </c>
      <c r="C80" s="492" t="s">
        <v>212</v>
      </c>
      <c r="D80" s="492" t="s">
        <v>616</v>
      </c>
      <c r="E80" s="492" t="s">
        <v>617</v>
      </c>
      <c r="F80" s="493">
        <v>12</v>
      </c>
      <c r="G80" s="494" t="s">
        <v>192</v>
      </c>
      <c r="H80" s="495">
        <v>1680</v>
      </c>
      <c r="I80" s="496">
        <f t="shared" si="2"/>
        <v>672</v>
      </c>
      <c r="J80" s="353">
        <v>730</v>
      </c>
      <c r="K80" s="492"/>
      <c r="L80" s="497">
        <f t="shared" si="3"/>
        <v>-8.6309523809523725E-2</v>
      </c>
      <c r="M80" s="492" t="s">
        <v>618</v>
      </c>
      <c r="N80" s="492" t="s">
        <v>520</v>
      </c>
      <c r="O80" s="492" t="s">
        <v>429</v>
      </c>
      <c r="P80" s="492" t="s">
        <v>521</v>
      </c>
      <c r="Q80" s="492" t="s">
        <v>431</v>
      </c>
      <c r="R80" s="492" t="s">
        <v>432</v>
      </c>
      <c r="S80" s="499">
        <v>42207</v>
      </c>
      <c r="T80" s="492" t="s">
        <v>433</v>
      </c>
      <c r="U80" s="492" t="s">
        <v>432</v>
      </c>
      <c r="V80" s="499"/>
      <c r="W80" s="499">
        <v>42246</v>
      </c>
      <c r="X80" s="500">
        <v>8184.84</v>
      </c>
    </row>
    <row r="81" spans="1:24">
      <c r="A81" s="492" t="s">
        <v>423</v>
      </c>
      <c r="B81" s="492" t="s">
        <v>595</v>
      </c>
      <c r="C81" s="492" t="s">
        <v>214</v>
      </c>
      <c r="D81" s="492" t="s">
        <v>619</v>
      </c>
      <c r="E81" s="492" t="s">
        <v>620</v>
      </c>
      <c r="F81" s="493">
        <v>12</v>
      </c>
      <c r="G81" s="494" t="s">
        <v>192</v>
      </c>
      <c r="H81" s="495">
        <v>1850</v>
      </c>
      <c r="I81" s="496">
        <f t="shared" si="2"/>
        <v>740</v>
      </c>
      <c r="J81" s="353">
        <v>840</v>
      </c>
      <c r="K81" s="492"/>
      <c r="L81" s="497">
        <f t="shared" si="3"/>
        <v>-0.13513513513513509</v>
      </c>
      <c r="M81" s="492" t="s">
        <v>618</v>
      </c>
      <c r="N81" s="492" t="s">
        <v>520</v>
      </c>
      <c r="O81" s="492" t="s">
        <v>429</v>
      </c>
      <c r="P81" s="492" t="s">
        <v>521</v>
      </c>
      <c r="Q81" s="492" t="s">
        <v>431</v>
      </c>
      <c r="R81" s="492" t="s">
        <v>432</v>
      </c>
      <c r="S81" s="499">
        <v>42207</v>
      </c>
      <c r="T81" s="492" t="s">
        <v>433</v>
      </c>
      <c r="U81" s="492" t="s">
        <v>432</v>
      </c>
      <c r="V81" s="499"/>
      <c r="W81" s="499">
        <v>42246</v>
      </c>
      <c r="X81" s="500">
        <v>9919.68</v>
      </c>
    </row>
    <row r="82" spans="1:24">
      <c r="A82" s="492" t="s">
        <v>423</v>
      </c>
      <c r="B82" s="492" t="s">
        <v>595</v>
      </c>
      <c r="C82" s="492" t="s">
        <v>216</v>
      </c>
      <c r="D82" s="492" t="s">
        <v>621</v>
      </c>
      <c r="E82" s="492" t="s">
        <v>622</v>
      </c>
      <c r="F82" s="493">
        <v>12</v>
      </c>
      <c r="G82" s="494" t="s">
        <v>192</v>
      </c>
      <c r="H82" s="495">
        <v>1540</v>
      </c>
      <c r="I82" s="496">
        <f t="shared" si="2"/>
        <v>616</v>
      </c>
      <c r="J82" s="353">
        <v>700</v>
      </c>
      <c r="K82" s="492"/>
      <c r="L82" s="497">
        <f t="shared" si="3"/>
        <v>-0.13636363636363646</v>
      </c>
      <c r="M82" s="492" t="s">
        <v>618</v>
      </c>
      <c r="N82" s="492" t="s">
        <v>520</v>
      </c>
      <c r="O82" s="492" t="s">
        <v>429</v>
      </c>
      <c r="P82" s="492" t="s">
        <v>521</v>
      </c>
      <c r="Q82" s="492" t="s">
        <v>431</v>
      </c>
      <c r="R82" s="492" t="s">
        <v>432</v>
      </c>
      <c r="S82" s="499">
        <v>42207</v>
      </c>
      <c r="T82" s="492" t="s">
        <v>433</v>
      </c>
      <c r="U82" s="492" t="s">
        <v>432</v>
      </c>
      <c r="V82" s="499"/>
      <c r="W82" s="499">
        <v>42246</v>
      </c>
      <c r="X82" s="500">
        <v>8281.08</v>
      </c>
    </row>
    <row r="83" spans="1:24">
      <c r="A83" s="492" t="s">
        <v>423</v>
      </c>
      <c r="B83" s="492" t="s">
        <v>595</v>
      </c>
      <c r="C83" s="492" t="s">
        <v>218</v>
      </c>
      <c r="D83" s="492" t="s">
        <v>623</v>
      </c>
      <c r="E83" s="492" t="s">
        <v>624</v>
      </c>
      <c r="F83" s="493">
        <v>12</v>
      </c>
      <c r="G83" s="494" t="s">
        <v>192</v>
      </c>
      <c r="H83" s="495">
        <v>4730</v>
      </c>
      <c r="I83" s="496">
        <f t="shared" si="2"/>
        <v>1892</v>
      </c>
      <c r="J83" s="500">
        <v>2130</v>
      </c>
      <c r="K83" s="492"/>
      <c r="L83" s="497">
        <f t="shared" si="3"/>
        <v>-0.12579281183932345</v>
      </c>
      <c r="M83" s="492" t="s">
        <v>618</v>
      </c>
      <c r="N83" s="492" t="s">
        <v>520</v>
      </c>
      <c r="O83" s="492" t="s">
        <v>429</v>
      </c>
      <c r="P83" s="492" t="s">
        <v>521</v>
      </c>
      <c r="Q83" s="492" t="s">
        <v>431</v>
      </c>
      <c r="R83" s="492" t="s">
        <v>432</v>
      </c>
      <c r="S83" s="499">
        <v>42207</v>
      </c>
      <c r="T83" s="492" t="s">
        <v>433</v>
      </c>
      <c r="U83" s="492" t="s">
        <v>432</v>
      </c>
      <c r="V83" s="499"/>
      <c r="W83" s="499">
        <v>42246</v>
      </c>
      <c r="X83" s="500">
        <v>25386.36</v>
      </c>
    </row>
    <row r="84" spans="1:24">
      <c r="A84" s="492" t="s">
        <v>423</v>
      </c>
      <c r="B84" s="492" t="s">
        <v>595</v>
      </c>
      <c r="C84" s="492" t="s">
        <v>220</v>
      </c>
      <c r="D84" s="492" t="s">
        <v>625</v>
      </c>
      <c r="E84" s="492" t="s">
        <v>626</v>
      </c>
      <c r="F84" s="493">
        <v>6</v>
      </c>
      <c r="G84" s="494" t="s">
        <v>192</v>
      </c>
      <c r="H84" s="495">
        <v>1330</v>
      </c>
      <c r="I84" s="496">
        <f t="shared" si="2"/>
        <v>532</v>
      </c>
      <c r="J84" s="353">
        <v>532</v>
      </c>
      <c r="K84" s="492"/>
      <c r="L84" s="497"/>
      <c r="M84" s="492" t="s">
        <v>627</v>
      </c>
      <c r="N84" s="492" t="s">
        <v>520</v>
      </c>
      <c r="O84" s="492" t="s">
        <v>429</v>
      </c>
      <c r="P84" s="492" t="s">
        <v>521</v>
      </c>
      <c r="Q84" s="492" t="s">
        <v>431</v>
      </c>
      <c r="R84" s="492" t="s">
        <v>432</v>
      </c>
      <c r="S84" s="499">
        <v>42207</v>
      </c>
      <c r="T84" s="492" t="s">
        <v>433</v>
      </c>
      <c r="U84" s="492" t="s">
        <v>432</v>
      </c>
      <c r="V84" s="499"/>
      <c r="W84" s="499">
        <v>42246</v>
      </c>
      <c r="X84" s="500">
        <v>3526.86</v>
      </c>
    </row>
    <row r="85" spans="1:24">
      <c r="A85" s="492" t="s">
        <v>423</v>
      </c>
      <c r="B85" s="492" t="s">
        <v>595</v>
      </c>
      <c r="C85" s="492" t="s">
        <v>222</v>
      </c>
      <c r="D85" s="492" t="s">
        <v>628</v>
      </c>
      <c r="E85" s="492" t="s">
        <v>629</v>
      </c>
      <c r="F85" s="493">
        <v>6</v>
      </c>
      <c r="G85" s="494" t="s">
        <v>192</v>
      </c>
      <c r="H85" s="495">
        <v>1110</v>
      </c>
      <c r="I85" s="496">
        <f t="shared" si="2"/>
        <v>444</v>
      </c>
      <c r="J85" s="353">
        <v>444</v>
      </c>
      <c r="K85" s="492"/>
      <c r="L85" s="497"/>
      <c r="M85" s="492" t="s">
        <v>627</v>
      </c>
      <c r="N85" s="492" t="s">
        <v>520</v>
      </c>
      <c r="O85" s="492" t="s">
        <v>429</v>
      </c>
      <c r="P85" s="492" t="s">
        <v>521</v>
      </c>
      <c r="Q85" s="492" t="s">
        <v>431</v>
      </c>
      <c r="R85" s="492" t="s">
        <v>432</v>
      </c>
      <c r="S85" s="499">
        <v>42207</v>
      </c>
      <c r="T85" s="492" t="s">
        <v>433</v>
      </c>
      <c r="U85" s="492" t="s">
        <v>432</v>
      </c>
      <c r="V85" s="499"/>
      <c r="W85" s="499">
        <v>42246</v>
      </c>
      <c r="X85" s="500">
        <v>2932.86</v>
      </c>
    </row>
    <row r="86" spans="1:24">
      <c r="A86" s="492" t="s">
        <v>423</v>
      </c>
      <c r="B86" s="492" t="s">
        <v>595</v>
      </c>
      <c r="C86" s="492" t="s">
        <v>224</v>
      </c>
      <c r="D86" s="492" t="s">
        <v>630</v>
      </c>
      <c r="E86" s="492" t="s">
        <v>631</v>
      </c>
      <c r="F86" s="493">
        <v>6</v>
      </c>
      <c r="G86" s="494" t="s">
        <v>192</v>
      </c>
      <c r="H86" s="495">
        <v>3210</v>
      </c>
      <c r="I86" s="496">
        <f t="shared" si="2"/>
        <v>1284</v>
      </c>
      <c r="J86" s="353">
        <v>1284</v>
      </c>
      <c r="K86" s="492"/>
      <c r="L86" s="497"/>
      <c r="M86" s="492" t="s">
        <v>627</v>
      </c>
      <c r="N86" s="492" t="s">
        <v>520</v>
      </c>
      <c r="O86" s="492" t="s">
        <v>429</v>
      </c>
      <c r="P86" s="492" t="s">
        <v>521</v>
      </c>
      <c r="Q86" s="492" t="s">
        <v>431</v>
      </c>
      <c r="R86" s="492" t="s">
        <v>432</v>
      </c>
      <c r="S86" s="499">
        <v>42207</v>
      </c>
      <c r="T86" s="492" t="s">
        <v>433</v>
      </c>
      <c r="U86" s="492" t="s">
        <v>432</v>
      </c>
      <c r="V86" s="499"/>
      <c r="W86" s="499">
        <v>42246</v>
      </c>
      <c r="X86" s="500">
        <v>8501.64</v>
      </c>
    </row>
    <row r="87" spans="1:24">
      <c r="A87" s="492" t="s">
        <v>423</v>
      </c>
      <c r="B87" s="492" t="s">
        <v>595</v>
      </c>
      <c r="C87" s="492" t="s">
        <v>315</v>
      </c>
      <c r="D87" s="492" t="s">
        <v>632</v>
      </c>
      <c r="E87" s="492" t="s">
        <v>633</v>
      </c>
      <c r="F87" s="493">
        <v>2</v>
      </c>
      <c r="G87" s="494" t="s">
        <v>192</v>
      </c>
      <c r="H87" s="495">
        <v>23460</v>
      </c>
      <c r="I87" s="496">
        <f t="shared" si="2"/>
        <v>9384</v>
      </c>
      <c r="J87" s="500">
        <v>13015</v>
      </c>
      <c r="K87" s="492"/>
      <c r="L87" s="497">
        <f t="shared" si="3"/>
        <v>-0.38693520886615507</v>
      </c>
      <c r="M87" s="492" t="s">
        <v>634</v>
      </c>
      <c r="N87" s="492" t="s">
        <v>520</v>
      </c>
      <c r="O87" s="492" t="s">
        <v>429</v>
      </c>
      <c r="P87" s="492" t="s">
        <v>521</v>
      </c>
      <c r="Q87" s="492" t="s">
        <v>431</v>
      </c>
      <c r="R87" s="492" t="s">
        <v>432</v>
      </c>
      <c r="S87" s="499">
        <v>42207</v>
      </c>
      <c r="T87" s="492" t="s">
        <v>433</v>
      </c>
      <c r="U87" s="492" t="s">
        <v>432</v>
      </c>
      <c r="V87" s="499"/>
      <c r="W87" s="499">
        <v>42246</v>
      </c>
      <c r="X87" s="500">
        <v>25471.32</v>
      </c>
    </row>
    <row r="88" spans="1:24">
      <c r="A88" s="492" t="s">
        <v>423</v>
      </c>
      <c r="B88" s="492" t="s">
        <v>595</v>
      </c>
      <c r="C88" s="492" t="s">
        <v>318</v>
      </c>
      <c r="D88" s="492" t="s">
        <v>635</v>
      </c>
      <c r="E88" s="492" t="s">
        <v>636</v>
      </c>
      <c r="F88" s="493">
        <v>12</v>
      </c>
      <c r="G88" s="494" t="s">
        <v>192</v>
      </c>
      <c r="H88" s="495">
        <v>1210</v>
      </c>
      <c r="I88" s="496">
        <f t="shared" si="2"/>
        <v>484</v>
      </c>
      <c r="J88" s="353">
        <v>605</v>
      </c>
      <c r="K88" s="492"/>
      <c r="L88" s="497">
        <f t="shared" si="3"/>
        <v>-0.25</v>
      </c>
      <c r="M88" s="492" t="s">
        <v>634</v>
      </c>
      <c r="N88" s="492" t="s">
        <v>520</v>
      </c>
      <c r="O88" s="492" t="s">
        <v>429</v>
      </c>
      <c r="P88" s="492" t="s">
        <v>521</v>
      </c>
      <c r="Q88" s="492" t="s">
        <v>431</v>
      </c>
      <c r="R88" s="492" t="s">
        <v>432</v>
      </c>
      <c r="S88" s="499">
        <v>42207</v>
      </c>
      <c r="T88" s="492" t="s">
        <v>433</v>
      </c>
      <c r="U88" s="492" t="s">
        <v>432</v>
      </c>
      <c r="V88" s="499"/>
      <c r="W88" s="499">
        <v>42246</v>
      </c>
      <c r="X88" s="500">
        <v>7278.96</v>
      </c>
    </row>
    <row r="89" spans="1:24">
      <c r="A89" s="492" t="s">
        <v>423</v>
      </c>
      <c r="B89" s="492" t="s">
        <v>595</v>
      </c>
      <c r="C89" s="492" t="s">
        <v>557</v>
      </c>
      <c r="D89" s="492" t="s">
        <v>637</v>
      </c>
      <c r="E89" s="492" t="s">
        <v>638</v>
      </c>
      <c r="F89" s="493">
        <v>12</v>
      </c>
      <c r="G89" s="494" t="s">
        <v>192</v>
      </c>
      <c r="H89" s="495">
        <v>1350</v>
      </c>
      <c r="I89" s="496">
        <f t="shared" si="2"/>
        <v>540</v>
      </c>
      <c r="J89" s="353">
        <v>675</v>
      </c>
      <c r="K89" s="492"/>
      <c r="L89" s="497">
        <f t="shared" si="3"/>
        <v>-0.25</v>
      </c>
      <c r="M89" s="492" t="s">
        <v>634</v>
      </c>
      <c r="N89" s="492" t="s">
        <v>520</v>
      </c>
      <c r="O89" s="492" t="s">
        <v>429</v>
      </c>
      <c r="P89" s="492" t="s">
        <v>521</v>
      </c>
      <c r="Q89" s="492" t="s">
        <v>431</v>
      </c>
      <c r="R89" s="492" t="s">
        <v>432</v>
      </c>
      <c r="S89" s="499">
        <v>42207</v>
      </c>
      <c r="T89" s="492" t="s">
        <v>433</v>
      </c>
      <c r="U89" s="492" t="s">
        <v>432</v>
      </c>
      <c r="V89" s="499"/>
      <c r="W89" s="499">
        <v>42246</v>
      </c>
      <c r="X89" s="500">
        <v>8181</v>
      </c>
    </row>
    <row r="90" spans="1:24">
      <c r="A90" s="492" t="s">
        <v>423</v>
      </c>
      <c r="B90" s="492" t="s">
        <v>595</v>
      </c>
      <c r="C90" s="492" t="s">
        <v>560</v>
      </c>
      <c r="D90" s="492" t="s">
        <v>639</v>
      </c>
      <c r="E90" s="492" t="s">
        <v>640</v>
      </c>
      <c r="F90" s="493">
        <v>12</v>
      </c>
      <c r="G90" s="494" t="s">
        <v>192</v>
      </c>
      <c r="H90" s="515">
        <v>2960</v>
      </c>
      <c r="I90" s="496">
        <f t="shared" si="2"/>
        <v>1184</v>
      </c>
      <c r="J90" s="500">
        <v>1480</v>
      </c>
      <c r="K90" s="353">
        <v>500</v>
      </c>
      <c r="L90" s="497">
        <f t="shared" si="3"/>
        <v>-0.25</v>
      </c>
      <c r="M90" s="492" t="s">
        <v>634</v>
      </c>
      <c r="N90" s="492" t="s">
        <v>520</v>
      </c>
      <c r="O90" s="492" t="s">
        <v>429</v>
      </c>
      <c r="P90" s="492" t="s">
        <v>521</v>
      </c>
      <c r="Q90" s="492" t="s">
        <v>431</v>
      </c>
      <c r="R90" s="492" t="s">
        <v>432</v>
      </c>
      <c r="S90" s="499">
        <v>42207</v>
      </c>
      <c r="T90" s="492" t="s">
        <v>433</v>
      </c>
      <c r="U90" s="492" t="s">
        <v>432</v>
      </c>
      <c r="V90" s="499"/>
      <c r="W90" s="499">
        <v>42246</v>
      </c>
      <c r="X90" s="500">
        <v>17861.52</v>
      </c>
    </row>
    <row r="91" spans="1:24">
      <c r="A91" s="492" t="s">
        <v>423</v>
      </c>
      <c r="B91" s="492" t="s">
        <v>595</v>
      </c>
      <c r="C91" s="492" t="s">
        <v>563</v>
      </c>
      <c r="D91" s="492" t="s">
        <v>641</v>
      </c>
      <c r="E91" s="492" t="s">
        <v>642</v>
      </c>
      <c r="F91" s="493">
        <v>12</v>
      </c>
      <c r="G91" s="494" t="s">
        <v>192</v>
      </c>
      <c r="H91" s="495">
        <v>960</v>
      </c>
      <c r="I91" s="496">
        <f t="shared" si="2"/>
        <v>384</v>
      </c>
      <c r="J91" s="353">
        <v>480</v>
      </c>
      <c r="K91" s="492"/>
      <c r="L91" s="497">
        <f t="shared" si="3"/>
        <v>-0.25</v>
      </c>
      <c r="M91" s="492" t="s">
        <v>634</v>
      </c>
      <c r="N91" s="492" t="s">
        <v>520</v>
      </c>
      <c r="O91" s="492" t="s">
        <v>429</v>
      </c>
      <c r="P91" s="492" t="s">
        <v>521</v>
      </c>
      <c r="Q91" s="492" t="s">
        <v>431</v>
      </c>
      <c r="R91" s="492" t="s">
        <v>432</v>
      </c>
      <c r="S91" s="499">
        <v>42207</v>
      </c>
      <c r="T91" s="492" t="s">
        <v>433</v>
      </c>
      <c r="U91" s="492" t="s">
        <v>432</v>
      </c>
      <c r="V91" s="499"/>
      <c r="W91" s="499">
        <v>42246</v>
      </c>
      <c r="X91" s="500">
        <v>5787.48</v>
      </c>
    </row>
    <row r="92" spans="1:24">
      <c r="A92" s="492" t="s">
        <v>423</v>
      </c>
      <c r="B92" s="492" t="s">
        <v>595</v>
      </c>
      <c r="C92" s="492" t="s">
        <v>567</v>
      </c>
      <c r="D92" s="492" t="s">
        <v>643</v>
      </c>
      <c r="E92" s="492" t="s">
        <v>644</v>
      </c>
      <c r="F92" s="493">
        <v>12</v>
      </c>
      <c r="G92" s="494" t="s">
        <v>192</v>
      </c>
      <c r="H92" s="495">
        <v>2310</v>
      </c>
      <c r="I92" s="496">
        <f>J92*1.1</f>
        <v>720.50000000000011</v>
      </c>
      <c r="J92" s="353">
        <v>655</v>
      </c>
      <c r="K92" s="492"/>
      <c r="L92" s="514">
        <f t="shared" si="3"/>
        <v>9.090909090909105E-2</v>
      </c>
      <c r="M92" s="492" t="s">
        <v>634</v>
      </c>
      <c r="N92" s="492" t="s">
        <v>520</v>
      </c>
      <c r="O92" s="492" t="s">
        <v>429</v>
      </c>
      <c r="P92" s="492" t="s">
        <v>521</v>
      </c>
      <c r="Q92" s="492" t="s">
        <v>431</v>
      </c>
      <c r="R92" s="492" t="s">
        <v>432</v>
      </c>
      <c r="S92" s="499">
        <v>42207</v>
      </c>
      <c r="T92" s="492" t="s">
        <v>433</v>
      </c>
      <c r="U92" s="492" t="s">
        <v>432</v>
      </c>
      <c r="V92" s="499"/>
      <c r="W92" s="499">
        <v>42246</v>
      </c>
      <c r="X92" s="500">
        <v>7975.8</v>
      </c>
    </row>
    <row r="93" spans="1:24">
      <c r="A93" s="492" t="s">
        <v>423</v>
      </c>
      <c r="B93" s="492" t="s">
        <v>595</v>
      </c>
      <c r="C93" s="492" t="s">
        <v>571</v>
      </c>
      <c r="D93" s="492" t="s">
        <v>645</v>
      </c>
      <c r="E93" s="492" t="s">
        <v>646</v>
      </c>
      <c r="F93" s="493">
        <v>1</v>
      </c>
      <c r="G93" s="494" t="s">
        <v>192</v>
      </c>
      <c r="H93" s="495">
        <v>80070</v>
      </c>
      <c r="I93" s="496">
        <f t="shared" si="2"/>
        <v>32028</v>
      </c>
      <c r="J93" s="500">
        <v>37850.800000000003</v>
      </c>
      <c r="K93" s="492"/>
      <c r="L93" s="497">
        <f t="shared" si="3"/>
        <v>-0.18180342200574517</v>
      </c>
      <c r="M93" s="492" t="s">
        <v>647</v>
      </c>
      <c r="N93" s="492" t="s">
        <v>520</v>
      </c>
      <c r="O93" s="492" t="s">
        <v>429</v>
      </c>
      <c r="P93" s="492" t="s">
        <v>521</v>
      </c>
      <c r="Q93" s="492" t="s">
        <v>431</v>
      </c>
      <c r="R93" s="492" t="s">
        <v>432</v>
      </c>
      <c r="S93" s="499">
        <v>42207</v>
      </c>
      <c r="T93" s="492" t="s">
        <v>433</v>
      </c>
      <c r="U93" s="492" t="s">
        <v>432</v>
      </c>
      <c r="V93" s="499"/>
      <c r="W93" s="499">
        <v>42246</v>
      </c>
      <c r="X93" s="500">
        <v>37850.81</v>
      </c>
    </row>
    <row r="94" spans="1:24">
      <c r="A94" s="492" t="s">
        <v>423</v>
      </c>
      <c r="B94" s="492" t="s">
        <v>595</v>
      </c>
      <c r="C94" s="492" t="s">
        <v>574</v>
      </c>
      <c r="D94" s="492" t="s">
        <v>648</v>
      </c>
      <c r="E94" s="492" t="s">
        <v>649</v>
      </c>
      <c r="F94" s="493">
        <v>1</v>
      </c>
      <c r="G94" s="494" t="s">
        <v>192</v>
      </c>
      <c r="H94" s="495">
        <v>41840</v>
      </c>
      <c r="I94" s="496">
        <f t="shared" si="2"/>
        <v>16736</v>
      </c>
      <c r="J94" s="500">
        <v>17290</v>
      </c>
      <c r="K94" s="492"/>
      <c r="L94" s="497">
        <f t="shared" si="3"/>
        <v>-3.3102294455066961E-2</v>
      </c>
      <c r="M94" s="492" t="s">
        <v>647</v>
      </c>
      <c r="N94" s="492" t="s">
        <v>520</v>
      </c>
      <c r="O94" s="492" t="s">
        <v>429</v>
      </c>
      <c r="P94" s="492" t="s">
        <v>521</v>
      </c>
      <c r="Q94" s="492" t="s">
        <v>431</v>
      </c>
      <c r="R94" s="492" t="s">
        <v>432</v>
      </c>
      <c r="S94" s="499">
        <v>42207</v>
      </c>
      <c r="T94" s="492" t="s">
        <v>433</v>
      </c>
      <c r="U94" s="492" t="s">
        <v>432</v>
      </c>
      <c r="V94" s="499"/>
      <c r="W94" s="499">
        <v>42246</v>
      </c>
      <c r="X94" s="500">
        <v>14412.66</v>
      </c>
    </row>
    <row r="95" spans="1:24">
      <c r="A95" s="492" t="s">
        <v>423</v>
      </c>
      <c r="B95" s="492" t="s">
        <v>595</v>
      </c>
      <c r="C95" s="492" t="s">
        <v>577</v>
      </c>
      <c r="D95" s="492" t="s">
        <v>650</v>
      </c>
      <c r="E95" s="492" t="s">
        <v>651</v>
      </c>
      <c r="F95" s="493">
        <v>1</v>
      </c>
      <c r="G95" s="494" t="s">
        <v>192</v>
      </c>
      <c r="H95" s="495">
        <v>352360</v>
      </c>
      <c r="I95" s="496">
        <f t="shared" si="2"/>
        <v>140944</v>
      </c>
      <c r="J95" s="500">
        <v>160914</v>
      </c>
      <c r="K95" s="492"/>
      <c r="L95" s="497">
        <f t="shared" si="3"/>
        <v>-0.14168747871495069</v>
      </c>
      <c r="M95" s="492" t="s">
        <v>647</v>
      </c>
      <c r="N95" s="492" t="s">
        <v>520</v>
      </c>
      <c r="O95" s="492" t="s">
        <v>429</v>
      </c>
      <c r="P95" s="492" t="s">
        <v>521</v>
      </c>
      <c r="Q95" s="492" t="s">
        <v>431</v>
      </c>
      <c r="R95" s="492" t="s">
        <v>432</v>
      </c>
      <c r="S95" s="499">
        <v>42207</v>
      </c>
      <c r="T95" s="492" t="s">
        <v>433</v>
      </c>
      <c r="U95" s="492" t="s">
        <v>432</v>
      </c>
      <c r="V95" s="499"/>
      <c r="W95" s="499">
        <v>42246</v>
      </c>
      <c r="X95" s="500">
        <v>160915</v>
      </c>
    </row>
    <row r="96" spans="1:24">
      <c r="A96" s="492" t="s">
        <v>423</v>
      </c>
      <c r="B96" s="492" t="s">
        <v>595</v>
      </c>
      <c r="C96" s="492" t="s">
        <v>580</v>
      </c>
      <c r="D96" s="492" t="s">
        <v>652</v>
      </c>
      <c r="E96" s="492" t="s">
        <v>653</v>
      </c>
      <c r="F96" s="493">
        <v>1</v>
      </c>
      <c r="G96" s="494" t="s">
        <v>192</v>
      </c>
      <c r="H96" s="495">
        <v>392440</v>
      </c>
      <c r="I96" s="496">
        <f t="shared" si="2"/>
        <v>156976</v>
      </c>
      <c r="J96" s="500">
        <v>166571.6</v>
      </c>
      <c r="K96" s="492"/>
      <c r="L96" s="497">
        <f t="shared" si="3"/>
        <v>-6.1127815717052281E-2</v>
      </c>
      <c r="M96" s="492" t="s">
        <v>647</v>
      </c>
      <c r="N96" s="492" t="s">
        <v>520</v>
      </c>
      <c r="O96" s="492" t="s">
        <v>429</v>
      </c>
      <c r="P96" s="492" t="s">
        <v>521</v>
      </c>
      <c r="Q96" s="492" t="s">
        <v>431</v>
      </c>
      <c r="R96" s="492" t="s">
        <v>432</v>
      </c>
      <c r="S96" s="499">
        <v>42207</v>
      </c>
      <c r="T96" s="492" t="s">
        <v>433</v>
      </c>
      <c r="U96" s="492" t="s">
        <v>432</v>
      </c>
      <c r="V96" s="499"/>
      <c r="W96" s="499">
        <v>42246</v>
      </c>
      <c r="X96" s="500">
        <v>166571.59</v>
      </c>
    </row>
    <row r="97" spans="1:24">
      <c r="A97" s="492" t="s">
        <v>423</v>
      </c>
      <c r="B97" s="492" t="s">
        <v>595</v>
      </c>
      <c r="C97" s="492" t="s">
        <v>583</v>
      </c>
      <c r="D97" s="492" t="s">
        <v>654</v>
      </c>
      <c r="E97" s="492" t="s">
        <v>655</v>
      </c>
      <c r="F97" s="493">
        <v>1</v>
      </c>
      <c r="G97" s="494" t="s">
        <v>192</v>
      </c>
      <c r="H97" s="495">
        <v>90350</v>
      </c>
      <c r="I97" s="496">
        <f t="shared" si="2"/>
        <v>36140</v>
      </c>
      <c r="J97" s="500">
        <v>42712.800000000003</v>
      </c>
      <c r="K97" s="492"/>
      <c r="L97" s="497">
        <f t="shared" si="3"/>
        <v>-0.18187050359712242</v>
      </c>
      <c r="M97" s="492" t="s">
        <v>647</v>
      </c>
      <c r="N97" s="492" t="s">
        <v>520</v>
      </c>
      <c r="O97" s="492" t="s">
        <v>429</v>
      </c>
      <c r="P97" s="492" t="s">
        <v>521</v>
      </c>
      <c r="Q97" s="492" t="s">
        <v>431</v>
      </c>
      <c r="R97" s="492" t="s">
        <v>432</v>
      </c>
      <c r="S97" s="499">
        <v>42207</v>
      </c>
      <c r="T97" s="492" t="s">
        <v>433</v>
      </c>
      <c r="U97" s="492" t="s">
        <v>432</v>
      </c>
      <c r="V97" s="499"/>
      <c r="W97" s="499">
        <v>42246</v>
      </c>
      <c r="X97" s="500">
        <v>42712.800000000003</v>
      </c>
    </row>
    <row r="98" spans="1:24">
      <c r="A98" s="492" t="s">
        <v>423</v>
      </c>
      <c r="B98" s="492" t="s">
        <v>595</v>
      </c>
      <c r="C98" s="492" t="s">
        <v>586</v>
      </c>
      <c r="D98" s="492" t="s">
        <v>656</v>
      </c>
      <c r="E98" s="492" t="s">
        <v>657</v>
      </c>
      <c r="F98" s="493">
        <v>12</v>
      </c>
      <c r="G98" s="494" t="s">
        <v>192</v>
      </c>
      <c r="H98" s="495">
        <v>2700</v>
      </c>
      <c r="I98" s="496">
        <f t="shared" si="2"/>
        <v>1080</v>
      </c>
      <c r="J98" s="500">
        <v>1405</v>
      </c>
      <c r="K98" s="492"/>
      <c r="L98" s="497">
        <f t="shared" si="3"/>
        <v>-0.30092592592592582</v>
      </c>
      <c r="M98" s="492" t="s">
        <v>658</v>
      </c>
      <c r="N98" s="492" t="s">
        <v>520</v>
      </c>
      <c r="O98" s="492" t="s">
        <v>429</v>
      </c>
      <c r="P98" s="492" t="s">
        <v>521</v>
      </c>
      <c r="Q98" s="492" t="s">
        <v>431</v>
      </c>
      <c r="R98" s="492" t="s">
        <v>432</v>
      </c>
      <c r="S98" s="499">
        <v>42207</v>
      </c>
      <c r="T98" s="492" t="s">
        <v>433</v>
      </c>
      <c r="U98" s="492" t="s">
        <v>432</v>
      </c>
      <c r="V98" s="499"/>
      <c r="W98" s="499">
        <v>42246</v>
      </c>
      <c r="X98" s="500">
        <v>15416.88</v>
      </c>
    </row>
    <row r="99" spans="1:24">
      <c r="A99" s="492" t="s">
        <v>423</v>
      </c>
      <c r="B99" s="492" t="s">
        <v>595</v>
      </c>
      <c r="C99" s="492" t="s">
        <v>589</v>
      </c>
      <c r="D99" s="492" t="s">
        <v>659</v>
      </c>
      <c r="E99" s="492" t="s">
        <v>660</v>
      </c>
      <c r="F99" s="493">
        <v>12</v>
      </c>
      <c r="G99" s="494" t="s">
        <v>192</v>
      </c>
      <c r="H99" s="495">
        <v>3060</v>
      </c>
      <c r="I99" s="496">
        <f t="shared" si="2"/>
        <v>1224</v>
      </c>
      <c r="J99" s="500">
        <v>1390</v>
      </c>
      <c r="K99" s="492"/>
      <c r="L99" s="497">
        <f t="shared" si="3"/>
        <v>-0.1356209150326797</v>
      </c>
      <c r="M99" s="492" t="s">
        <v>658</v>
      </c>
      <c r="N99" s="492" t="s">
        <v>520</v>
      </c>
      <c r="O99" s="492" t="s">
        <v>429</v>
      </c>
      <c r="P99" s="492" t="s">
        <v>521</v>
      </c>
      <c r="Q99" s="492" t="s">
        <v>431</v>
      </c>
      <c r="R99" s="492" t="s">
        <v>432</v>
      </c>
      <c r="S99" s="499">
        <v>42207</v>
      </c>
      <c r="T99" s="492" t="s">
        <v>433</v>
      </c>
      <c r="U99" s="492" t="s">
        <v>432</v>
      </c>
      <c r="V99" s="499"/>
      <c r="W99" s="499">
        <v>42246</v>
      </c>
      <c r="X99" s="500">
        <v>15321.12</v>
      </c>
    </row>
    <row r="100" spans="1:24">
      <c r="A100" s="492" t="s">
        <v>423</v>
      </c>
      <c r="B100" s="492" t="s">
        <v>595</v>
      </c>
      <c r="C100" s="492" t="s">
        <v>592</v>
      </c>
      <c r="D100" s="492" t="s">
        <v>661</v>
      </c>
      <c r="E100" s="492" t="s">
        <v>662</v>
      </c>
      <c r="F100" s="493">
        <v>6</v>
      </c>
      <c r="G100" s="494" t="s">
        <v>192</v>
      </c>
      <c r="H100" s="495">
        <v>2410</v>
      </c>
      <c r="I100" s="496">
        <f t="shared" si="2"/>
        <v>964</v>
      </c>
      <c r="J100" s="500">
        <v>1095</v>
      </c>
      <c r="K100" s="492"/>
      <c r="L100" s="497">
        <f t="shared" si="3"/>
        <v>-0.13589211618257258</v>
      </c>
      <c r="M100" s="492" t="s">
        <v>658</v>
      </c>
      <c r="N100" s="492" t="s">
        <v>520</v>
      </c>
      <c r="O100" s="492" t="s">
        <v>429</v>
      </c>
      <c r="P100" s="492" t="s">
        <v>521</v>
      </c>
      <c r="Q100" s="492" t="s">
        <v>431</v>
      </c>
      <c r="R100" s="492" t="s">
        <v>432</v>
      </c>
      <c r="S100" s="499">
        <v>42207</v>
      </c>
      <c r="T100" s="492" t="s">
        <v>433</v>
      </c>
      <c r="U100" s="492" t="s">
        <v>432</v>
      </c>
      <c r="V100" s="499"/>
      <c r="W100" s="499">
        <v>42246</v>
      </c>
      <c r="X100" s="500">
        <v>5992.2</v>
      </c>
    </row>
    <row r="101" spans="1:24">
      <c r="A101" s="492" t="s">
        <v>423</v>
      </c>
      <c r="B101" s="492" t="s">
        <v>595</v>
      </c>
      <c r="C101" s="492" t="s">
        <v>663</v>
      </c>
      <c r="D101" s="492" t="s">
        <v>664</v>
      </c>
      <c r="E101" s="492" t="s">
        <v>665</v>
      </c>
      <c r="F101" s="493">
        <v>6</v>
      </c>
      <c r="G101" s="494" t="s">
        <v>192</v>
      </c>
      <c r="H101" s="495">
        <v>2350</v>
      </c>
      <c r="I101" s="496">
        <f t="shared" si="2"/>
        <v>940</v>
      </c>
      <c r="J101" s="500">
        <v>1070</v>
      </c>
      <c r="K101" s="492"/>
      <c r="L101" s="497">
        <f t="shared" si="3"/>
        <v>-0.13829787234042556</v>
      </c>
      <c r="M101" s="492" t="s">
        <v>658</v>
      </c>
      <c r="N101" s="492" t="s">
        <v>520</v>
      </c>
      <c r="O101" s="492" t="s">
        <v>429</v>
      </c>
      <c r="P101" s="492" t="s">
        <v>521</v>
      </c>
      <c r="Q101" s="492" t="s">
        <v>431</v>
      </c>
      <c r="R101" s="492" t="s">
        <v>432</v>
      </c>
      <c r="S101" s="499">
        <v>42207</v>
      </c>
      <c r="T101" s="492" t="s">
        <v>433</v>
      </c>
      <c r="U101" s="492" t="s">
        <v>432</v>
      </c>
      <c r="V101" s="499"/>
      <c r="W101" s="499">
        <v>42246</v>
      </c>
      <c r="X101" s="500">
        <v>5858.76</v>
      </c>
    </row>
    <row r="102" spans="1:24">
      <c r="A102" s="492" t="s">
        <v>423</v>
      </c>
      <c r="B102" s="492" t="s">
        <v>595</v>
      </c>
      <c r="C102" s="492" t="s">
        <v>666</v>
      </c>
      <c r="D102" s="492" t="s">
        <v>667</v>
      </c>
      <c r="E102" s="492" t="s">
        <v>668</v>
      </c>
      <c r="F102" s="493">
        <v>6</v>
      </c>
      <c r="G102" s="494" t="s">
        <v>192</v>
      </c>
      <c r="H102" s="495">
        <v>5160</v>
      </c>
      <c r="I102" s="496">
        <f t="shared" si="2"/>
        <v>2064</v>
      </c>
      <c r="J102" s="500">
        <v>2345</v>
      </c>
      <c r="K102" s="492"/>
      <c r="L102" s="497">
        <f t="shared" si="3"/>
        <v>-0.13614341085271309</v>
      </c>
      <c r="M102" s="492" t="s">
        <v>658</v>
      </c>
      <c r="N102" s="492" t="s">
        <v>520</v>
      </c>
      <c r="O102" s="492" t="s">
        <v>429</v>
      </c>
      <c r="P102" s="492" t="s">
        <v>521</v>
      </c>
      <c r="Q102" s="492" t="s">
        <v>431</v>
      </c>
      <c r="R102" s="492" t="s">
        <v>432</v>
      </c>
      <c r="S102" s="499">
        <v>42207</v>
      </c>
      <c r="T102" s="492" t="s">
        <v>433</v>
      </c>
      <c r="U102" s="492" t="s">
        <v>432</v>
      </c>
      <c r="V102" s="499"/>
      <c r="W102" s="499">
        <v>42246</v>
      </c>
      <c r="X102" s="500">
        <v>12858.6</v>
      </c>
    </row>
    <row r="103" spans="1:24">
      <c r="A103" s="492" t="s">
        <v>423</v>
      </c>
      <c r="B103" s="492" t="s">
        <v>595</v>
      </c>
      <c r="C103" s="492" t="s">
        <v>669</v>
      </c>
      <c r="D103" s="492" t="s">
        <v>670</v>
      </c>
      <c r="E103" s="492" t="s">
        <v>671</v>
      </c>
      <c r="F103" s="493">
        <v>6</v>
      </c>
      <c r="G103" s="494" t="s">
        <v>192</v>
      </c>
      <c r="H103" s="495">
        <v>5010</v>
      </c>
      <c r="I103" s="496">
        <f t="shared" si="2"/>
        <v>2004</v>
      </c>
      <c r="J103" s="500">
        <v>2275</v>
      </c>
      <c r="K103" s="492"/>
      <c r="L103" s="497">
        <f t="shared" si="3"/>
        <v>-0.13522954091816364</v>
      </c>
      <c r="M103" s="492" t="s">
        <v>658</v>
      </c>
      <c r="N103" s="492" t="s">
        <v>520</v>
      </c>
      <c r="O103" s="492" t="s">
        <v>429</v>
      </c>
      <c r="P103" s="492" t="s">
        <v>521</v>
      </c>
      <c r="Q103" s="492" t="s">
        <v>431</v>
      </c>
      <c r="R103" s="492" t="s">
        <v>432</v>
      </c>
      <c r="S103" s="499">
        <v>42207</v>
      </c>
      <c r="T103" s="492" t="s">
        <v>433</v>
      </c>
      <c r="U103" s="492" t="s">
        <v>432</v>
      </c>
      <c r="V103" s="499"/>
      <c r="W103" s="499">
        <v>42246</v>
      </c>
      <c r="X103" s="500">
        <v>12467.04</v>
      </c>
    </row>
    <row r="104" spans="1:24">
      <c r="A104" s="492" t="s">
        <v>423</v>
      </c>
      <c r="B104" s="492" t="s">
        <v>595</v>
      </c>
      <c r="C104" s="492" t="s">
        <v>672</v>
      </c>
      <c r="D104" s="492" t="s">
        <v>673</v>
      </c>
      <c r="E104" s="492" t="s">
        <v>674</v>
      </c>
      <c r="F104" s="493">
        <v>1</v>
      </c>
      <c r="G104" s="494" t="s">
        <v>192</v>
      </c>
      <c r="H104" s="495">
        <v>37390</v>
      </c>
      <c r="I104" s="496">
        <f t="shared" si="2"/>
        <v>14956</v>
      </c>
      <c r="J104" s="500">
        <v>14295</v>
      </c>
      <c r="K104" s="492"/>
      <c r="L104" s="497">
        <f t="shared" si="3"/>
        <v>4.4196309173575865E-2</v>
      </c>
      <c r="M104" s="492" t="s">
        <v>658</v>
      </c>
      <c r="N104" s="492" t="s">
        <v>520</v>
      </c>
      <c r="O104" s="492" t="s">
        <v>429</v>
      </c>
      <c r="P104" s="492" t="s">
        <v>521</v>
      </c>
      <c r="Q104" s="492" t="s">
        <v>431</v>
      </c>
      <c r="R104" s="492" t="s">
        <v>432</v>
      </c>
      <c r="S104" s="499">
        <v>42207</v>
      </c>
      <c r="T104" s="492" t="s">
        <v>433</v>
      </c>
      <c r="U104" s="492" t="s">
        <v>432</v>
      </c>
      <c r="V104" s="499"/>
      <c r="W104" s="499">
        <v>42246</v>
      </c>
      <c r="X104" s="500">
        <v>14295.49</v>
      </c>
    </row>
    <row r="105" spans="1:24">
      <c r="A105" s="492" t="s">
        <v>423</v>
      </c>
      <c r="B105" s="492" t="s">
        <v>595</v>
      </c>
      <c r="C105" s="492" t="s">
        <v>675</v>
      </c>
      <c r="D105" s="492" t="s">
        <v>676</v>
      </c>
      <c r="E105" s="492" t="s">
        <v>677</v>
      </c>
      <c r="F105" s="493">
        <v>6</v>
      </c>
      <c r="G105" s="494" t="s">
        <v>192</v>
      </c>
      <c r="H105" s="495">
        <v>2460</v>
      </c>
      <c r="I105" s="496">
        <f>H105*0.4</f>
        <v>984</v>
      </c>
      <c r="J105" s="500">
        <v>1120</v>
      </c>
      <c r="K105" s="492"/>
      <c r="L105" s="497">
        <f>1-(J105/I105)</f>
        <v>-0.13821138211382111</v>
      </c>
      <c r="M105" s="492" t="s">
        <v>678</v>
      </c>
      <c r="N105" s="492" t="s">
        <v>520</v>
      </c>
      <c r="O105" s="492" t="s">
        <v>429</v>
      </c>
      <c r="P105" s="492" t="s">
        <v>679</v>
      </c>
      <c r="Q105" s="492" t="s">
        <v>431</v>
      </c>
      <c r="R105" s="492" t="s">
        <v>432</v>
      </c>
      <c r="S105" s="499">
        <v>42207</v>
      </c>
      <c r="T105" s="492" t="s">
        <v>433</v>
      </c>
      <c r="U105" s="492" t="s">
        <v>432</v>
      </c>
      <c r="V105" s="499"/>
      <c r="W105" s="499">
        <v>42246</v>
      </c>
      <c r="X105" s="500">
        <v>6720.84</v>
      </c>
    </row>
    <row r="106" spans="1:24">
      <c r="A106" s="492" t="s">
        <v>423</v>
      </c>
      <c r="B106" s="492" t="s">
        <v>595</v>
      </c>
      <c r="C106" s="492" t="s">
        <v>680</v>
      </c>
      <c r="D106" s="492" t="s">
        <v>681</v>
      </c>
      <c r="E106" s="492" t="s">
        <v>682</v>
      </c>
      <c r="F106" s="493">
        <v>6</v>
      </c>
      <c r="G106" s="494" t="s">
        <v>192</v>
      </c>
      <c r="H106" s="495">
        <v>2670</v>
      </c>
      <c r="I106" s="496">
        <f>H106*0.4</f>
        <v>1068</v>
      </c>
      <c r="J106" s="500">
        <v>1215</v>
      </c>
      <c r="K106" s="492"/>
      <c r="L106" s="497">
        <f>1-(J106/I106)</f>
        <v>-0.13764044943820219</v>
      </c>
      <c r="M106" s="492" t="s">
        <v>678</v>
      </c>
      <c r="N106" s="492" t="s">
        <v>520</v>
      </c>
      <c r="O106" s="492" t="s">
        <v>429</v>
      </c>
      <c r="P106" s="492" t="s">
        <v>679</v>
      </c>
      <c r="Q106" s="492" t="s">
        <v>431</v>
      </c>
      <c r="R106" s="492" t="s">
        <v>432</v>
      </c>
      <c r="S106" s="499">
        <v>42207</v>
      </c>
      <c r="T106" s="492" t="s">
        <v>433</v>
      </c>
      <c r="U106" s="492" t="s">
        <v>432</v>
      </c>
      <c r="V106" s="499"/>
      <c r="W106" s="499">
        <v>42246</v>
      </c>
      <c r="X106" s="500">
        <v>7290</v>
      </c>
    </row>
    <row r="107" spans="1:24" ht="15.75" thickBot="1">
      <c r="A107" s="492" t="s">
        <v>423</v>
      </c>
      <c r="B107" s="492" t="s">
        <v>595</v>
      </c>
      <c r="C107" s="492" t="s">
        <v>683</v>
      </c>
      <c r="D107" s="492" t="s">
        <v>684</v>
      </c>
      <c r="E107" s="492" t="s">
        <v>685</v>
      </c>
      <c r="F107" s="493">
        <v>6</v>
      </c>
      <c r="G107" s="494" t="s">
        <v>192</v>
      </c>
      <c r="H107" s="503">
        <v>5300</v>
      </c>
      <c r="I107" s="516">
        <f>H107*0.4</f>
        <v>2120</v>
      </c>
      <c r="J107" s="517">
        <v>2410</v>
      </c>
      <c r="K107" s="492"/>
      <c r="L107" s="497">
        <f>1-(J107/I107)</f>
        <v>-0.1367924528301887</v>
      </c>
      <c r="M107" s="492" t="s">
        <v>678</v>
      </c>
      <c r="N107" s="492" t="s">
        <v>520</v>
      </c>
      <c r="O107" s="492" t="s">
        <v>429</v>
      </c>
      <c r="P107" s="492" t="s">
        <v>679</v>
      </c>
      <c r="Q107" s="492" t="s">
        <v>431</v>
      </c>
      <c r="R107" s="492" t="s">
        <v>432</v>
      </c>
      <c r="S107" s="499">
        <v>42207</v>
      </c>
      <c r="T107" s="492" t="s">
        <v>433</v>
      </c>
      <c r="U107" s="492" t="s">
        <v>432</v>
      </c>
      <c r="V107" s="499"/>
      <c r="W107" s="499">
        <v>42246</v>
      </c>
      <c r="X107" s="500">
        <v>14460</v>
      </c>
    </row>
    <row r="108" spans="1:24" ht="26.25">
      <c r="A108" s="492"/>
      <c r="B108" s="353"/>
      <c r="C108" s="353"/>
      <c r="D108" s="492"/>
      <c r="E108" s="492"/>
      <c r="F108" s="493"/>
      <c r="G108" s="494"/>
      <c r="H108" s="518" t="s">
        <v>509</v>
      </c>
      <c r="I108" s="519" t="s">
        <v>510</v>
      </c>
      <c r="J108" s="520"/>
      <c r="K108" s="508"/>
      <c r="L108" s="497"/>
      <c r="M108" s="492"/>
      <c r="N108" s="492"/>
      <c r="O108" s="492"/>
      <c r="P108" s="492"/>
      <c r="Q108" s="492"/>
      <c r="R108" s="492"/>
      <c r="S108" s="499"/>
      <c r="T108" s="492"/>
      <c r="U108" s="492"/>
      <c r="V108" s="499"/>
      <c r="W108" s="499"/>
      <c r="X108" s="500"/>
    </row>
    <row r="109" spans="1:24" ht="15.75" thickBot="1">
      <c r="A109" s="492"/>
      <c r="B109" s="492"/>
      <c r="C109" s="492"/>
      <c r="D109" s="492"/>
      <c r="E109" s="492"/>
      <c r="F109" s="493"/>
      <c r="G109" s="494"/>
      <c r="H109" s="521">
        <f>SUMPRODUCT(H41:H107, $F$41:$F$107)</f>
        <v>4223910</v>
      </c>
      <c r="I109" s="522">
        <f>SUMPRODUCT(I41:I107, $F$41:$F$107)</f>
        <v>1584072.96</v>
      </c>
      <c r="J109" s="523">
        <f>SUMPRODUCT(J41:J107, $F$41:$F$107)</f>
        <v>1799258.8000000003</v>
      </c>
      <c r="K109" s="508"/>
      <c r="L109" s="495"/>
      <c r="M109" s="492"/>
      <c r="N109" s="492"/>
      <c r="O109" s="492"/>
      <c r="P109" s="492"/>
      <c r="Q109" s="492"/>
      <c r="R109" s="492"/>
      <c r="S109" s="499"/>
      <c r="T109" s="492"/>
      <c r="U109" s="492"/>
      <c r="V109" s="499"/>
      <c r="W109" s="499"/>
      <c r="X109" s="500"/>
    </row>
    <row r="110" spans="1:24" ht="16.5" thickBot="1">
      <c r="A110" s="492"/>
      <c r="B110" s="492"/>
      <c r="C110" s="492"/>
      <c r="D110" s="492"/>
      <c r="E110" s="492"/>
      <c r="F110" s="493"/>
      <c r="G110" s="494"/>
      <c r="H110" s="509" t="s">
        <v>511</v>
      </c>
      <c r="I110" s="510"/>
      <c r="J110" s="511">
        <f>J109-I109</f>
        <v>215185.84000000032</v>
      </c>
      <c r="K110" s="524"/>
      <c r="L110" s="492"/>
      <c r="M110" s="492"/>
      <c r="N110" s="492"/>
      <c r="O110" s="492"/>
      <c r="P110" s="492"/>
      <c r="Q110" s="492"/>
      <c r="R110" s="492"/>
      <c r="S110" s="499"/>
      <c r="T110" s="492"/>
      <c r="U110" s="492"/>
      <c r="V110" s="499"/>
      <c r="W110" s="499"/>
      <c r="X110" s="500"/>
    </row>
    <row r="111" spans="1:24" s="487" customFormat="1" ht="15.75" thickBot="1">
      <c r="A111" s="487" t="s">
        <v>402</v>
      </c>
      <c r="B111" s="487" t="s">
        <v>403</v>
      </c>
      <c r="C111" s="487" t="s">
        <v>4</v>
      </c>
      <c r="D111" s="487" t="s">
        <v>404</v>
      </c>
      <c r="E111" s="487" t="s">
        <v>405</v>
      </c>
      <c r="F111" s="488" t="s">
        <v>406</v>
      </c>
      <c r="G111" s="489" t="s">
        <v>407</v>
      </c>
      <c r="H111" s="525"/>
      <c r="I111" s="525"/>
      <c r="J111" s="538">
        <f>J110+J38</f>
        <v>243373.84000000032</v>
      </c>
      <c r="M111" s="487" t="s">
        <v>686</v>
      </c>
      <c r="N111" s="487" t="s">
        <v>413</v>
      </c>
      <c r="O111" s="487" t="s">
        <v>414</v>
      </c>
      <c r="P111" s="487" t="s">
        <v>415</v>
      </c>
      <c r="Q111" s="487" t="s">
        <v>416</v>
      </c>
      <c r="R111" s="487" t="s">
        <v>90</v>
      </c>
      <c r="S111" s="488" t="s">
        <v>417</v>
      </c>
      <c r="T111" s="487" t="s">
        <v>418</v>
      </c>
      <c r="U111" s="487" t="s">
        <v>419</v>
      </c>
      <c r="V111" s="488" t="s">
        <v>420</v>
      </c>
      <c r="W111" s="488" t="s">
        <v>421</v>
      </c>
      <c r="X111" s="488" t="s">
        <v>422</v>
      </c>
    </row>
    <row r="112" spans="1:24">
      <c r="A112" s="492" t="s">
        <v>423</v>
      </c>
      <c r="B112" s="492" t="s">
        <v>687</v>
      </c>
      <c r="C112" s="492" t="s">
        <v>136</v>
      </c>
      <c r="D112" s="492" t="s">
        <v>688</v>
      </c>
      <c r="E112" s="492" t="s">
        <v>689</v>
      </c>
      <c r="F112" s="493">
        <v>4</v>
      </c>
      <c r="G112" s="494" t="s">
        <v>192</v>
      </c>
      <c r="H112" s="492"/>
      <c r="I112" s="492"/>
      <c r="K112" s="492"/>
      <c r="L112" s="492"/>
      <c r="M112" s="492" t="s">
        <v>678</v>
      </c>
      <c r="N112" s="492" t="s">
        <v>690</v>
      </c>
      <c r="O112" s="492" t="s">
        <v>429</v>
      </c>
      <c r="P112" s="492" t="s">
        <v>521</v>
      </c>
      <c r="Q112" s="492" t="s">
        <v>431</v>
      </c>
      <c r="R112" s="492" t="s">
        <v>432</v>
      </c>
      <c r="S112" s="499">
        <v>42207</v>
      </c>
      <c r="T112" s="492" t="s">
        <v>433</v>
      </c>
      <c r="U112" s="492" t="s">
        <v>432</v>
      </c>
      <c r="V112" s="499"/>
      <c r="W112" s="499">
        <v>42225</v>
      </c>
      <c r="X112" s="500">
        <v>14032</v>
      </c>
    </row>
    <row r="113" spans="1:24">
      <c r="A113" s="492" t="s">
        <v>423</v>
      </c>
      <c r="B113" s="492" t="s">
        <v>691</v>
      </c>
      <c r="C113" s="492" t="s">
        <v>136</v>
      </c>
      <c r="D113" s="492" t="s">
        <v>692</v>
      </c>
      <c r="E113" s="492" t="s">
        <v>693</v>
      </c>
      <c r="F113" s="493">
        <v>1</v>
      </c>
      <c r="G113" s="494" t="s">
        <v>192</v>
      </c>
      <c r="H113" s="492"/>
      <c r="I113" s="492"/>
      <c r="J113" s="492"/>
      <c r="K113" s="492"/>
      <c r="L113" s="492"/>
      <c r="M113" s="492"/>
      <c r="N113" s="492" t="s">
        <v>694</v>
      </c>
      <c r="O113" s="492" t="s">
        <v>429</v>
      </c>
      <c r="P113" s="492" t="s">
        <v>430</v>
      </c>
      <c r="Q113" s="492" t="s">
        <v>431</v>
      </c>
      <c r="R113" s="492" t="s">
        <v>432</v>
      </c>
      <c r="S113" s="499">
        <v>42217</v>
      </c>
      <c r="T113" s="492" t="s">
        <v>695</v>
      </c>
      <c r="U113" s="492" t="s">
        <v>432</v>
      </c>
      <c r="V113" s="499"/>
      <c r="W113" s="499">
        <v>42308</v>
      </c>
      <c r="X113" s="500">
        <v>1035000</v>
      </c>
    </row>
    <row r="114" spans="1:24">
      <c r="A114" s="492" t="s">
        <v>423</v>
      </c>
      <c r="B114" s="492" t="s">
        <v>691</v>
      </c>
      <c r="C114" s="492" t="s">
        <v>147</v>
      </c>
      <c r="D114" s="492" t="s">
        <v>696</v>
      </c>
      <c r="E114" s="492" t="s">
        <v>697</v>
      </c>
      <c r="F114" s="493">
        <v>1</v>
      </c>
      <c r="G114" s="494" t="s">
        <v>192</v>
      </c>
      <c r="H114" s="492"/>
      <c r="I114" s="492"/>
      <c r="J114" s="492"/>
      <c r="K114" s="492"/>
      <c r="L114" s="492"/>
      <c r="M114" s="492"/>
      <c r="N114" s="492" t="s">
        <v>694</v>
      </c>
      <c r="O114" s="492" t="s">
        <v>429</v>
      </c>
      <c r="P114" s="492" t="s">
        <v>430</v>
      </c>
      <c r="Q114" s="492" t="s">
        <v>431</v>
      </c>
      <c r="R114" s="492" t="s">
        <v>432</v>
      </c>
      <c r="S114" s="499">
        <v>42217</v>
      </c>
      <c r="T114" s="492" t="s">
        <v>695</v>
      </c>
      <c r="U114" s="492" t="s">
        <v>432</v>
      </c>
      <c r="V114" s="499"/>
      <c r="W114" s="499">
        <v>42308</v>
      </c>
      <c r="X114" s="500">
        <v>1730000</v>
      </c>
    </row>
    <row r="115" spans="1:24">
      <c r="A115" s="492" t="s">
        <v>423</v>
      </c>
      <c r="B115" s="492" t="s">
        <v>698</v>
      </c>
      <c r="C115" s="492" t="s">
        <v>136</v>
      </c>
      <c r="D115" s="492" t="s">
        <v>699</v>
      </c>
      <c r="E115" s="492" t="s">
        <v>700</v>
      </c>
      <c r="F115" s="493">
        <v>35</v>
      </c>
      <c r="G115" s="494" t="s">
        <v>192</v>
      </c>
      <c r="H115" s="492"/>
      <c r="I115" s="492"/>
      <c r="J115" s="492"/>
      <c r="K115" s="492"/>
      <c r="L115" s="492"/>
      <c r="M115" s="492"/>
      <c r="N115" s="492" t="s">
        <v>428</v>
      </c>
      <c r="O115" s="492" t="s">
        <v>429</v>
      </c>
      <c r="P115" s="492" t="s">
        <v>430</v>
      </c>
      <c r="Q115" s="492" t="s">
        <v>431</v>
      </c>
      <c r="R115" s="492" t="s">
        <v>432</v>
      </c>
      <c r="S115" s="499">
        <v>42216</v>
      </c>
      <c r="T115" s="492" t="s">
        <v>433</v>
      </c>
      <c r="U115" s="492" t="s">
        <v>432</v>
      </c>
      <c r="V115" s="499"/>
      <c r="W115" s="499">
        <v>42247</v>
      </c>
      <c r="X115" s="500">
        <v>83125</v>
      </c>
    </row>
    <row r="116" spans="1:24">
      <c r="A116" s="492" t="s">
        <v>423</v>
      </c>
      <c r="B116" s="492" t="s">
        <v>698</v>
      </c>
      <c r="C116" s="492" t="s">
        <v>147</v>
      </c>
      <c r="D116" s="492" t="s">
        <v>701</v>
      </c>
      <c r="E116" s="492" t="s">
        <v>702</v>
      </c>
      <c r="F116" s="493">
        <v>10</v>
      </c>
      <c r="G116" s="494" t="s">
        <v>192</v>
      </c>
      <c r="H116" s="492"/>
      <c r="I116" s="492"/>
      <c r="J116" s="492"/>
      <c r="K116" s="492"/>
      <c r="L116" s="492"/>
      <c r="M116" s="492"/>
      <c r="N116" s="492" t="s">
        <v>428</v>
      </c>
      <c r="O116" s="492" t="s">
        <v>429</v>
      </c>
      <c r="P116" s="492" t="s">
        <v>430</v>
      </c>
      <c r="Q116" s="492" t="s">
        <v>431</v>
      </c>
      <c r="R116" s="492" t="s">
        <v>432</v>
      </c>
      <c r="S116" s="499">
        <v>42216</v>
      </c>
      <c r="T116" s="492" t="s">
        <v>433</v>
      </c>
      <c r="U116" s="492" t="s">
        <v>432</v>
      </c>
      <c r="V116" s="499"/>
      <c r="W116" s="499">
        <v>42247</v>
      </c>
      <c r="X116" s="500">
        <v>16750</v>
      </c>
    </row>
    <row r="117" spans="1:24">
      <c r="A117" s="492" t="s">
        <v>423</v>
      </c>
      <c r="B117" s="492" t="s">
        <v>698</v>
      </c>
      <c r="C117" s="492" t="s">
        <v>150</v>
      </c>
      <c r="D117" s="492" t="s">
        <v>703</v>
      </c>
      <c r="E117" s="492" t="s">
        <v>704</v>
      </c>
      <c r="F117" s="493">
        <v>5</v>
      </c>
      <c r="G117" s="494" t="s">
        <v>192</v>
      </c>
      <c r="H117" s="492"/>
      <c r="I117" s="492"/>
      <c r="J117" s="492"/>
      <c r="K117" s="492"/>
      <c r="L117" s="492"/>
      <c r="M117" s="492"/>
      <c r="N117" s="492" t="s">
        <v>428</v>
      </c>
      <c r="O117" s="492" t="s">
        <v>429</v>
      </c>
      <c r="P117" s="492" t="s">
        <v>430</v>
      </c>
      <c r="Q117" s="492" t="s">
        <v>431</v>
      </c>
      <c r="R117" s="492" t="s">
        <v>432</v>
      </c>
      <c r="S117" s="499">
        <v>42216</v>
      </c>
      <c r="T117" s="492" t="s">
        <v>433</v>
      </c>
      <c r="U117" s="492" t="s">
        <v>432</v>
      </c>
      <c r="V117" s="499"/>
      <c r="W117" s="499">
        <v>42247</v>
      </c>
      <c r="X117" s="500">
        <v>27200</v>
      </c>
    </row>
    <row r="118" spans="1:24">
      <c r="A118" s="492"/>
      <c r="B118" s="492"/>
      <c r="C118" s="492"/>
      <c r="D118" s="492"/>
      <c r="E118" s="492"/>
      <c r="F118" s="493"/>
      <c r="G118" s="494"/>
      <c r="H118" s="492"/>
      <c r="I118" s="492"/>
      <c r="J118" s="492"/>
      <c r="K118" s="492"/>
      <c r="L118" s="492"/>
      <c r="M118" s="492"/>
      <c r="N118" s="492"/>
      <c r="O118" s="492"/>
      <c r="P118" s="492"/>
      <c r="Q118" s="492"/>
      <c r="R118" s="492"/>
      <c r="S118" s="499"/>
      <c r="T118" s="492"/>
      <c r="U118" s="492"/>
      <c r="V118" s="499"/>
      <c r="W118" s="499"/>
      <c r="X118" s="500"/>
    </row>
    <row r="119" spans="1:24" s="487" customFormat="1">
      <c r="A119" s="487" t="s">
        <v>402</v>
      </c>
      <c r="B119" s="487" t="s">
        <v>403</v>
      </c>
      <c r="C119" s="487" t="s">
        <v>4</v>
      </c>
      <c r="D119" s="487" t="s">
        <v>404</v>
      </c>
      <c r="E119" s="487" t="s">
        <v>405</v>
      </c>
      <c r="F119" s="488" t="s">
        <v>406</v>
      </c>
      <c r="G119" s="489" t="s">
        <v>407</v>
      </c>
      <c r="M119" s="487" t="s">
        <v>686</v>
      </c>
      <c r="N119" s="487" t="s">
        <v>413</v>
      </c>
      <c r="O119" s="487" t="s">
        <v>414</v>
      </c>
      <c r="P119" s="487" t="s">
        <v>415</v>
      </c>
      <c r="Q119" s="487" t="s">
        <v>416</v>
      </c>
      <c r="R119" s="487" t="s">
        <v>90</v>
      </c>
      <c r="S119" s="488" t="s">
        <v>417</v>
      </c>
      <c r="T119" s="487" t="s">
        <v>418</v>
      </c>
      <c r="U119" s="487" t="s">
        <v>419</v>
      </c>
      <c r="V119" s="488" t="s">
        <v>420</v>
      </c>
      <c r="W119" s="488" t="s">
        <v>421</v>
      </c>
      <c r="X119" s="488" t="s">
        <v>422</v>
      </c>
    </row>
    <row r="120" spans="1:24">
      <c r="A120" s="492" t="s">
        <v>423</v>
      </c>
      <c r="B120" s="492" t="s">
        <v>705</v>
      </c>
      <c r="C120" s="492" t="s">
        <v>136</v>
      </c>
      <c r="D120" s="492" t="s">
        <v>706</v>
      </c>
      <c r="E120" s="492" t="s">
        <v>707</v>
      </c>
      <c r="F120" s="493">
        <v>1</v>
      </c>
      <c r="G120" s="494" t="s">
        <v>192</v>
      </c>
      <c r="H120" s="492"/>
      <c r="I120" s="492"/>
      <c r="J120" s="492"/>
      <c r="K120" s="492"/>
      <c r="L120" s="492"/>
      <c r="M120" s="492"/>
      <c r="N120" s="492" t="s">
        <v>708</v>
      </c>
      <c r="O120" s="492" t="s">
        <v>429</v>
      </c>
      <c r="P120" s="492" t="s">
        <v>521</v>
      </c>
      <c r="Q120" s="492" t="s">
        <v>431</v>
      </c>
      <c r="R120" s="492" t="s">
        <v>432</v>
      </c>
      <c r="S120" s="499">
        <v>42206</v>
      </c>
      <c r="T120" s="492" t="s">
        <v>433</v>
      </c>
      <c r="U120" s="492" t="s">
        <v>432</v>
      </c>
      <c r="V120" s="499"/>
      <c r="W120" s="499">
        <v>42218</v>
      </c>
      <c r="X120" s="500">
        <v>2845</v>
      </c>
    </row>
    <row r="121" spans="1:24">
      <c r="A121" s="492" t="s">
        <v>423</v>
      </c>
      <c r="B121" s="492" t="s">
        <v>705</v>
      </c>
      <c r="C121" s="492" t="s">
        <v>147</v>
      </c>
      <c r="D121" s="492" t="s">
        <v>709</v>
      </c>
      <c r="E121" s="492" t="s">
        <v>710</v>
      </c>
      <c r="F121" s="493">
        <v>1</v>
      </c>
      <c r="G121" s="494" t="s">
        <v>192</v>
      </c>
      <c r="H121" s="492"/>
      <c r="I121" s="492"/>
      <c r="J121" s="492"/>
      <c r="K121" s="492"/>
      <c r="L121" s="492"/>
      <c r="M121" s="492"/>
      <c r="N121" s="492" t="s">
        <v>708</v>
      </c>
      <c r="O121" s="492" t="s">
        <v>429</v>
      </c>
      <c r="P121" s="492" t="s">
        <v>521</v>
      </c>
      <c r="Q121" s="492" t="s">
        <v>431</v>
      </c>
      <c r="R121" s="492" t="s">
        <v>432</v>
      </c>
      <c r="S121" s="499">
        <v>42206</v>
      </c>
      <c r="T121" s="492" t="s">
        <v>433</v>
      </c>
      <c r="U121" s="492" t="s">
        <v>432</v>
      </c>
      <c r="V121" s="499"/>
      <c r="W121" s="499">
        <v>42218</v>
      </c>
      <c r="X121" s="500">
        <v>6850</v>
      </c>
    </row>
    <row r="122" spans="1:24">
      <c r="A122" s="492" t="s">
        <v>423</v>
      </c>
      <c r="B122" s="492" t="s">
        <v>705</v>
      </c>
      <c r="C122" s="492" t="s">
        <v>150</v>
      </c>
      <c r="D122" s="492" t="s">
        <v>711</v>
      </c>
      <c r="E122" s="492" t="s">
        <v>712</v>
      </c>
      <c r="F122" s="493">
        <v>6</v>
      </c>
      <c r="G122" s="494" t="s">
        <v>192</v>
      </c>
      <c r="H122" s="492"/>
      <c r="I122" s="492"/>
      <c r="J122" s="492"/>
      <c r="K122" s="492"/>
      <c r="L122" s="492"/>
      <c r="M122" s="492"/>
      <c r="N122" s="492" t="s">
        <v>708</v>
      </c>
      <c r="O122" s="492" t="s">
        <v>429</v>
      </c>
      <c r="P122" s="492" t="s">
        <v>521</v>
      </c>
      <c r="Q122" s="492" t="s">
        <v>431</v>
      </c>
      <c r="R122" s="492" t="s">
        <v>432</v>
      </c>
      <c r="S122" s="499">
        <v>42206</v>
      </c>
      <c r="T122" s="492" t="s">
        <v>433</v>
      </c>
      <c r="U122" s="492" t="s">
        <v>432</v>
      </c>
      <c r="V122" s="499"/>
      <c r="W122" s="499">
        <v>42218</v>
      </c>
      <c r="X122" s="500">
        <v>750</v>
      </c>
    </row>
    <row r="123" spans="1:24">
      <c r="A123" s="492" t="s">
        <v>423</v>
      </c>
      <c r="B123" s="492" t="s">
        <v>705</v>
      </c>
      <c r="C123" s="492" t="s">
        <v>152</v>
      </c>
      <c r="D123" s="492" t="s">
        <v>713</v>
      </c>
      <c r="E123" s="492" t="s">
        <v>714</v>
      </c>
      <c r="F123" s="493">
        <v>6</v>
      </c>
      <c r="G123" s="494" t="s">
        <v>192</v>
      </c>
      <c r="H123" s="492"/>
      <c r="I123" s="492"/>
      <c r="J123" s="492"/>
      <c r="K123" s="492"/>
      <c r="L123" s="492"/>
      <c r="M123" s="492"/>
      <c r="N123" s="492" t="s">
        <v>708</v>
      </c>
      <c r="O123" s="492" t="s">
        <v>429</v>
      </c>
      <c r="P123" s="492" t="s">
        <v>521</v>
      </c>
      <c r="Q123" s="492" t="s">
        <v>431</v>
      </c>
      <c r="R123" s="492" t="s">
        <v>432</v>
      </c>
      <c r="S123" s="499">
        <v>42206</v>
      </c>
      <c r="T123" s="492" t="s">
        <v>433</v>
      </c>
      <c r="U123" s="492" t="s">
        <v>432</v>
      </c>
      <c r="V123" s="499"/>
      <c r="W123" s="499">
        <v>42218</v>
      </c>
      <c r="X123" s="500">
        <v>1320</v>
      </c>
    </row>
    <row r="124" spans="1:24">
      <c r="A124" s="492" t="s">
        <v>423</v>
      </c>
      <c r="B124" s="492" t="s">
        <v>705</v>
      </c>
      <c r="C124" s="492" t="s">
        <v>140</v>
      </c>
      <c r="D124" s="492" t="s">
        <v>715</v>
      </c>
      <c r="E124" s="492" t="s">
        <v>716</v>
      </c>
      <c r="F124" s="493">
        <v>1</v>
      </c>
      <c r="G124" s="494" t="s">
        <v>192</v>
      </c>
      <c r="H124" s="492"/>
      <c r="I124" s="492"/>
      <c r="J124" s="492"/>
      <c r="K124" s="492"/>
      <c r="L124" s="492"/>
      <c r="M124" s="492"/>
      <c r="N124" s="492" t="s">
        <v>708</v>
      </c>
      <c r="O124" s="492" t="s">
        <v>429</v>
      </c>
      <c r="P124" s="492" t="s">
        <v>521</v>
      </c>
      <c r="Q124" s="492" t="s">
        <v>431</v>
      </c>
      <c r="R124" s="492" t="s">
        <v>432</v>
      </c>
      <c r="S124" s="499">
        <v>42206</v>
      </c>
      <c r="T124" s="492" t="s">
        <v>433</v>
      </c>
      <c r="U124" s="492" t="s">
        <v>432</v>
      </c>
      <c r="V124" s="499"/>
      <c r="W124" s="499">
        <v>42218</v>
      </c>
      <c r="X124" s="500">
        <v>3175</v>
      </c>
    </row>
    <row r="125" spans="1:24">
      <c r="A125" s="492" t="s">
        <v>423</v>
      </c>
      <c r="B125" s="492" t="s">
        <v>705</v>
      </c>
      <c r="C125" s="492" t="s">
        <v>202</v>
      </c>
      <c r="D125" s="492" t="s">
        <v>717</v>
      </c>
      <c r="E125" s="492" t="s">
        <v>718</v>
      </c>
      <c r="F125" s="493">
        <v>1</v>
      </c>
      <c r="G125" s="494" t="s">
        <v>192</v>
      </c>
      <c r="H125" s="492"/>
      <c r="I125" s="492"/>
      <c r="J125" s="492"/>
      <c r="K125" s="492"/>
      <c r="L125" s="492"/>
      <c r="M125" s="492"/>
      <c r="N125" s="492" t="s">
        <v>708</v>
      </c>
      <c r="O125" s="492" t="s">
        <v>429</v>
      </c>
      <c r="P125" s="492" t="s">
        <v>521</v>
      </c>
      <c r="Q125" s="492" t="s">
        <v>431</v>
      </c>
      <c r="R125" s="492" t="s">
        <v>432</v>
      </c>
      <c r="S125" s="499">
        <v>42206</v>
      </c>
      <c r="T125" s="492" t="s">
        <v>433</v>
      </c>
      <c r="U125" s="492" t="s">
        <v>432</v>
      </c>
      <c r="V125" s="499"/>
      <c r="W125" s="499">
        <v>42218</v>
      </c>
      <c r="X125" s="500">
        <v>4100</v>
      </c>
    </row>
    <row r="126" spans="1:24">
      <c r="A126" s="492" t="s">
        <v>423</v>
      </c>
      <c r="B126" s="492" t="s">
        <v>705</v>
      </c>
      <c r="C126" s="492" t="s">
        <v>204</v>
      </c>
      <c r="D126" s="492" t="s">
        <v>719</v>
      </c>
      <c r="E126" s="492" t="s">
        <v>720</v>
      </c>
      <c r="F126" s="493">
        <v>1</v>
      </c>
      <c r="G126" s="494" t="s">
        <v>721</v>
      </c>
      <c r="H126" s="492"/>
      <c r="I126" s="492"/>
      <c r="J126" s="492"/>
      <c r="K126" s="492"/>
      <c r="L126" s="492"/>
      <c r="M126" s="492"/>
      <c r="N126" s="492" t="s">
        <v>708</v>
      </c>
      <c r="O126" s="492" t="s">
        <v>429</v>
      </c>
      <c r="P126" s="492" t="s">
        <v>521</v>
      </c>
      <c r="Q126" s="492" t="s">
        <v>431</v>
      </c>
      <c r="R126" s="492" t="s">
        <v>432</v>
      </c>
      <c r="S126" s="499">
        <v>42206</v>
      </c>
      <c r="T126" s="492" t="s">
        <v>433</v>
      </c>
      <c r="U126" s="492" t="s">
        <v>432</v>
      </c>
      <c r="V126" s="499"/>
      <c r="W126" s="499">
        <v>42218</v>
      </c>
      <c r="X126" s="500">
        <v>510</v>
      </c>
    </row>
    <row r="127" spans="1:24">
      <c r="A127" s="492" t="s">
        <v>423</v>
      </c>
      <c r="B127" s="492" t="s">
        <v>705</v>
      </c>
      <c r="C127" s="492" t="s">
        <v>206</v>
      </c>
      <c r="D127" s="492" t="s">
        <v>722</v>
      </c>
      <c r="E127" s="492" t="s">
        <v>723</v>
      </c>
      <c r="F127" s="493">
        <v>6</v>
      </c>
      <c r="G127" s="494" t="s">
        <v>192</v>
      </c>
      <c r="H127" s="492"/>
      <c r="I127" s="492"/>
      <c r="J127" s="492"/>
      <c r="K127" s="492"/>
      <c r="L127" s="492"/>
      <c r="M127" s="492"/>
      <c r="N127" s="492" t="s">
        <v>708</v>
      </c>
      <c r="O127" s="492" t="s">
        <v>429</v>
      </c>
      <c r="P127" s="492" t="s">
        <v>521</v>
      </c>
      <c r="Q127" s="492" t="s">
        <v>431</v>
      </c>
      <c r="R127" s="492" t="s">
        <v>432</v>
      </c>
      <c r="S127" s="499">
        <v>42206</v>
      </c>
      <c r="T127" s="492" t="s">
        <v>433</v>
      </c>
      <c r="U127" s="492" t="s">
        <v>432</v>
      </c>
      <c r="V127" s="499"/>
      <c r="W127" s="499">
        <v>42218</v>
      </c>
      <c r="X127" s="500">
        <v>750</v>
      </c>
    </row>
    <row r="128" spans="1:24">
      <c r="A128" s="492" t="s">
        <v>423</v>
      </c>
      <c r="B128" s="492" t="s">
        <v>705</v>
      </c>
      <c r="C128" s="492" t="s">
        <v>209</v>
      </c>
      <c r="D128" s="492" t="s">
        <v>724</v>
      </c>
      <c r="E128" s="492" t="s">
        <v>725</v>
      </c>
      <c r="F128" s="493">
        <v>6</v>
      </c>
      <c r="G128" s="494" t="s">
        <v>192</v>
      </c>
      <c r="H128" s="492"/>
      <c r="I128" s="492"/>
      <c r="J128" s="492"/>
      <c r="K128" s="492"/>
      <c r="L128" s="492"/>
      <c r="M128" s="492"/>
      <c r="N128" s="492" t="s">
        <v>708</v>
      </c>
      <c r="O128" s="492" t="s">
        <v>429</v>
      </c>
      <c r="P128" s="492" t="s">
        <v>521</v>
      </c>
      <c r="Q128" s="492" t="s">
        <v>431</v>
      </c>
      <c r="R128" s="492" t="s">
        <v>432</v>
      </c>
      <c r="S128" s="499">
        <v>42206</v>
      </c>
      <c r="T128" s="492" t="s">
        <v>433</v>
      </c>
      <c r="U128" s="492" t="s">
        <v>432</v>
      </c>
      <c r="V128" s="499"/>
      <c r="W128" s="499">
        <v>42218</v>
      </c>
      <c r="X128" s="500">
        <v>1170</v>
      </c>
    </row>
    <row r="129" spans="1:24">
      <c r="A129" s="492" t="s">
        <v>423</v>
      </c>
      <c r="B129" s="492" t="s">
        <v>705</v>
      </c>
      <c r="C129" s="492" t="s">
        <v>212</v>
      </c>
      <c r="D129" s="492" t="s">
        <v>726</v>
      </c>
      <c r="E129" s="492" t="s">
        <v>727</v>
      </c>
      <c r="F129" s="493">
        <v>1</v>
      </c>
      <c r="G129" s="494" t="s">
        <v>192</v>
      </c>
      <c r="H129" s="492"/>
      <c r="I129" s="492"/>
      <c r="J129" s="492"/>
      <c r="K129" s="492"/>
      <c r="L129" s="492"/>
      <c r="M129" s="492"/>
      <c r="N129" s="492" t="s">
        <v>708</v>
      </c>
      <c r="O129" s="492" t="s">
        <v>429</v>
      </c>
      <c r="P129" s="492" t="s">
        <v>521</v>
      </c>
      <c r="Q129" s="492" t="s">
        <v>431</v>
      </c>
      <c r="R129" s="492" t="s">
        <v>432</v>
      </c>
      <c r="S129" s="499">
        <v>42206</v>
      </c>
      <c r="T129" s="492" t="s">
        <v>433</v>
      </c>
      <c r="U129" s="492" t="s">
        <v>432</v>
      </c>
      <c r="V129" s="499"/>
      <c r="W129" s="499">
        <v>42218</v>
      </c>
      <c r="X129" s="500">
        <v>4250</v>
      </c>
    </row>
    <row r="130" spans="1:24">
      <c r="A130" s="492" t="s">
        <v>423</v>
      </c>
      <c r="B130" s="492" t="s">
        <v>705</v>
      </c>
      <c r="C130" s="492" t="s">
        <v>214</v>
      </c>
      <c r="D130" s="492" t="s">
        <v>728</v>
      </c>
      <c r="E130" s="492" t="s">
        <v>729</v>
      </c>
      <c r="F130" s="493">
        <v>1</v>
      </c>
      <c r="G130" s="494" t="s">
        <v>192</v>
      </c>
      <c r="H130" s="492"/>
      <c r="I130" s="492"/>
      <c r="J130" s="492"/>
      <c r="K130" s="492"/>
      <c r="L130" s="492"/>
      <c r="M130" s="492"/>
      <c r="N130" s="492" t="s">
        <v>708</v>
      </c>
      <c r="O130" s="492" t="s">
        <v>429</v>
      </c>
      <c r="P130" s="492" t="s">
        <v>521</v>
      </c>
      <c r="Q130" s="492" t="s">
        <v>431</v>
      </c>
      <c r="R130" s="492" t="s">
        <v>432</v>
      </c>
      <c r="S130" s="499">
        <v>42206</v>
      </c>
      <c r="T130" s="492" t="s">
        <v>433</v>
      </c>
      <c r="U130" s="492" t="s">
        <v>432</v>
      </c>
      <c r="V130" s="499"/>
      <c r="W130" s="499">
        <v>42218</v>
      </c>
      <c r="X130" s="500">
        <v>7200</v>
      </c>
    </row>
    <row r="131" spans="1:24">
      <c r="A131" s="492" t="s">
        <v>423</v>
      </c>
      <c r="B131" s="492" t="s">
        <v>705</v>
      </c>
      <c r="C131" s="492" t="s">
        <v>216</v>
      </c>
      <c r="D131" s="492" t="s">
        <v>730</v>
      </c>
      <c r="E131" s="492" t="s">
        <v>731</v>
      </c>
      <c r="F131" s="493">
        <v>6</v>
      </c>
      <c r="G131" s="494" t="s">
        <v>192</v>
      </c>
      <c r="H131" s="492"/>
      <c r="I131" s="492"/>
      <c r="J131" s="492"/>
      <c r="K131" s="492"/>
      <c r="L131" s="492"/>
      <c r="M131" s="492"/>
      <c r="N131" s="492" t="s">
        <v>708</v>
      </c>
      <c r="O131" s="492" t="s">
        <v>429</v>
      </c>
      <c r="P131" s="492" t="s">
        <v>521</v>
      </c>
      <c r="Q131" s="492" t="s">
        <v>431</v>
      </c>
      <c r="R131" s="492" t="s">
        <v>432</v>
      </c>
      <c r="S131" s="499">
        <v>42206</v>
      </c>
      <c r="T131" s="492" t="s">
        <v>433</v>
      </c>
      <c r="U131" s="492" t="s">
        <v>432</v>
      </c>
      <c r="V131" s="499"/>
      <c r="W131" s="499">
        <v>42218</v>
      </c>
      <c r="X131" s="500">
        <v>2520</v>
      </c>
    </row>
    <row r="132" spans="1:24">
      <c r="A132" s="492" t="s">
        <v>423</v>
      </c>
      <c r="B132" s="492" t="s">
        <v>705</v>
      </c>
      <c r="C132" s="492" t="s">
        <v>218</v>
      </c>
      <c r="D132" s="492" t="s">
        <v>732</v>
      </c>
      <c r="E132" s="492" t="s">
        <v>733</v>
      </c>
      <c r="F132" s="493">
        <v>6</v>
      </c>
      <c r="G132" s="494" t="s">
        <v>192</v>
      </c>
      <c r="H132" s="492"/>
      <c r="I132" s="492"/>
      <c r="J132" s="492"/>
      <c r="K132" s="492"/>
      <c r="L132" s="492"/>
      <c r="M132" s="492"/>
      <c r="N132" s="492" t="s">
        <v>708</v>
      </c>
      <c r="O132" s="492" t="s">
        <v>429</v>
      </c>
      <c r="P132" s="492" t="s">
        <v>521</v>
      </c>
      <c r="Q132" s="492" t="s">
        <v>431</v>
      </c>
      <c r="R132" s="492" t="s">
        <v>432</v>
      </c>
      <c r="S132" s="499">
        <v>42206</v>
      </c>
      <c r="T132" s="492" t="s">
        <v>433</v>
      </c>
      <c r="U132" s="492" t="s">
        <v>432</v>
      </c>
      <c r="V132" s="499"/>
      <c r="W132" s="499">
        <v>42218</v>
      </c>
      <c r="X132" s="500">
        <v>2700</v>
      </c>
    </row>
    <row r="133" spans="1:24">
      <c r="A133" s="492" t="s">
        <v>423</v>
      </c>
      <c r="B133" s="492" t="s">
        <v>705</v>
      </c>
      <c r="C133" s="492" t="s">
        <v>220</v>
      </c>
      <c r="D133" s="492" t="s">
        <v>734</v>
      </c>
      <c r="E133" s="492" t="s">
        <v>735</v>
      </c>
      <c r="F133" s="493">
        <v>1</v>
      </c>
      <c r="G133" s="494" t="s">
        <v>192</v>
      </c>
      <c r="H133" s="492"/>
      <c r="I133" s="492"/>
      <c r="J133" s="492"/>
      <c r="K133" s="492"/>
      <c r="L133" s="492"/>
      <c r="M133" s="492"/>
      <c r="N133" s="492" t="s">
        <v>708</v>
      </c>
      <c r="O133" s="492" t="s">
        <v>429</v>
      </c>
      <c r="P133" s="492" t="s">
        <v>521</v>
      </c>
      <c r="Q133" s="492" t="s">
        <v>431</v>
      </c>
      <c r="R133" s="492" t="s">
        <v>432</v>
      </c>
      <c r="S133" s="499">
        <v>42206</v>
      </c>
      <c r="T133" s="492" t="s">
        <v>433</v>
      </c>
      <c r="U133" s="492" t="s">
        <v>432</v>
      </c>
      <c r="V133" s="499"/>
      <c r="W133" s="499">
        <v>42218</v>
      </c>
      <c r="X133" s="500">
        <v>3610</v>
      </c>
    </row>
    <row r="134" spans="1:24">
      <c r="A134" s="492" t="s">
        <v>423</v>
      </c>
      <c r="B134" s="492" t="s">
        <v>705</v>
      </c>
      <c r="C134" s="492" t="s">
        <v>222</v>
      </c>
      <c r="D134" s="492" t="s">
        <v>736</v>
      </c>
      <c r="E134" s="492" t="s">
        <v>737</v>
      </c>
      <c r="F134" s="493">
        <v>1</v>
      </c>
      <c r="G134" s="494" t="s">
        <v>192</v>
      </c>
      <c r="H134" s="492"/>
      <c r="I134" s="492"/>
      <c r="J134" s="492"/>
      <c r="K134" s="492"/>
      <c r="L134" s="492"/>
      <c r="M134" s="492"/>
      <c r="N134" s="492" t="s">
        <v>708</v>
      </c>
      <c r="O134" s="492" t="s">
        <v>429</v>
      </c>
      <c r="P134" s="492" t="s">
        <v>521</v>
      </c>
      <c r="Q134" s="492" t="s">
        <v>431</v>
      </c>
      <c r="R134" s="492" t="s">
        <v>432</v>
      </c>
      <c r="S134" s="499">
        <v>42206</v>
      </c>
      <c r="T134" s="492" t="s">
        <v>433</v>
      </c>
      <c r="U134" s="492" t="s">
        <v>432</v>
      </c>
      <c r="V134" s="499"/>
      <c r="W134" s="499">
        <v>42218</v>
      </c>
      <c r="X134" s="500">
        <v>4100</v>
      </c>
    </row>
    <row r="135" spans="1:24">
      <c r="A135" s="492" t="s">
        <v>423</v>
      </c>
      <c r="B135" s="492" t="s">
        <v>705</v>
      </c>
      <c r="C135" s="492" t="s">
        <v>224</v>
      </c>
      <c r="D135" s="492" t="s">
        <v>738</v>
      </c>
      <c r="E135" s="492" t="s">
        <v>739</v>
      </c>
      <c r="F135" s="493">
        <v>1</v>
      </c>
      <c r="G135" s="494" t="s">
        <v>721</v>
      </c>
      <c r="H135" s="492"/>
      <c r="I135" s="492"/>
      <c r="J135" s="492"/>
      <c r="K135" s="492"/>
      <c r="L135" s="492"/>
      <c r="M135" s="492"/>
      <c r="N135" s="492" t="s">
        <v>708</v>
      </c>
      <c r="O135" s="492" t="s">
        <v>429</v>
      </c>
      <c r="P135" s="492" t="s">
        <v>521</v>
      </c>
      <c r="Q135" s="492" t="s">
        <v>431</v>
      </c>
      <c r="R135" s="492" t="s">
        <v>432</v>
      </c>
      <c r="S135" s="499">
        <v>42206</v>
      </c>
      <c r="T135" s="492" t="s">
        <v>433</v>
      </c>
      <c r="U135" s="492" t="s">
        <v>432</v>
      </c>
      <c r="V135" s="499"/>
      <c r="W135" s="499">
        <v>42218</v>
      </c>
      <c r="X135" s="500">
        <v>480</v>
      </c>
    </row>
    <row r="136" spans="1:24">
      <c r="A136" s="492" t="s">
        <v>423</v>
      </c>
      <c r="B136" s="492" t="s">
        <v>705</v>
      </c>
      <c r="C136" s="492" t="s">
        <v>315</v>
      </c>
      <c r="D136" s="492" t="s">
        <v>740</v>
      </c>
      <c r="E136" s="492" t="s">
        <v>741</v>
      </c>
      <c r="F136" s="493">
        <v>6</v>
      </c>
      <c r="G136" s="494" t="s">
        <v>192</v>
      </c>
      <c r="H136" s="492"/>
      <c r="I136" s="492"/>
      <c r="J136" s="492"/>
      <c r="K136" s="492"/>
      <c r="L136" s="492"/>
      <c r="M136" s="492"/>
      <c r="N136" s="492" t="s">
        <v>708</v>
      </c>
      <c r="O136" s="492" t="s">
        <v>429</v>
      </c>
      <c r="P136" s="492" t="s">
        <v>521</v>
      </c>
      <c r="Q136" s="492" t="s">
        <v>431</v>
      </c>
      <c r="R136" s="492" t="s">
        <v>432</v>
      </c>
      <c r="S136" s="499">
        <v>42206</v>
      </c>
      <c r="T136" s="492" t="s">
        <v>433</v>
      </c>
      <c r="U136" s="492" t="s">
        <v>432</v>
      </c>
      <c r="V136" s="499"/>
      <c r="W136" s="499">
        <v>42218</v>
      </c>
      <c r="X136" s="500">
        <v>1890</v>
      </c>
    </row>
    <row r="137" spans="1:24">
      <c r="A137" s="492" t="s">
        <v>423</v>
      </c>
      <c r="B137" s="492" t="s">
        <v>705</v>
      </c>
      <c r="C137" s="492" t="s">
        <v>318</v>
      </c>
      <c r="D137" s="492" t="s">
        <v>742</v>
      </c>
      <c r="E137" s="492" t="s">
        <v>743</v>
      </c>
      <c r="F137" s="493">
        <v>6</v>
      </c>
      <c r="G137" s="494" t="s">
        <v>192</v>
      </c>
      <c r="H137" s="492"/>
      <c r="I137" s="492"/>
      <c r="J137" s="492"/>
      <c r="K137" s="492"/>
      <c r="L137" s="492"/>
      <c r="M137" s="492"/>
      <c r="N137" s="492" t="s">
        <v>708</v>
      </c>
      <c r="O137" s="492" t="s">
        <v>429</v>
      </c>
      <c r="P137" s="492" t="s">
        <v>521</v>
      </c>
      <c r="Q137" s="492" t="s">
        <v>431</v>
      </c>
      <c r="R137" s="492" t="s">
        <v>432</v>
      </c>
      <c r="S137" s="499">
        <v>42206</v>
      </c>
      <c r="T137" s="492" t="s">
        <v>433</v>
      </c>
      <c r="U137" s="492" t="s">
        <v>432</v>
      </c>
      <c r="V137" s="499"/>
      <c r="W137" s="499">
        <v>42218</v>
      </c>
      <c r="X137" s="500">
        <v>2460</v>
      </c>
    </row>
    <row r="138" spans="1:24">
      <c r="A138" s="492" t="s">
        <v>423</v>
      </c>
      <c r="B138" s="492" t="s">
        <v>705</v>
      </c>
      <c r="C138" s="492" t="s">
        <v>557</v>
      </c>
      <c r="D138" s="492" t="s">
        <v>744</v>
      </c>
      <c r="E138" s="492" t="s">
        <v>745</v>
      </c>
      <c r="F138" s="493">
        <v>6</v>
      </c>
      <c r="G138" s="494" t="s">
        <v>192</v>
      </c>
      <c r="H138" s="492"/>
      <c r="I138" s="492"/>
      <c r="J138" s="492"/>
      <c r="K138" s="492"/>
      <c r="L138" s="492"/>
      <c r="M138" s="492"/>
      <c r="N138" s="492" t="s">
        <v>708</v>
      </c>
      <c r="O138" s="492" t="s">
        <v>429</v>
      </c>
      <c r="P138" s="492" t="s">
        <v>521</v>
      </c>
      <c r="Q138" s="492" t="s">
        <v>431</v>
      </c>
      <c r="R138" s="492" t="s">
        <v>432</v>
      </c>
      <c r="S138" s="499">
        <v>42206</v>
      </c>
      <c r="T138" s="492" t="s">
        <v>433</v>
      </c>
      <c r="U138" s="492" t="s">
        <v>432</v>
      </c>
      <c r="V138" s="499"/>
      <c r="W138" s="499">
        <v>42218</v>
      </c>
      <c r="X138" s="500">
        <v>750</v>
      </c>
    </row>
    <row r="139" spans="1:24">
      <c r="A139" s="492" t="s">
        <v>423</v>
      </c>
      <c r="B139" s="492" t="s">
        <v>705</v>
      </c>
      <c r="C139" s="492" t="s">
        <v>560</v>
      </c>
      <c r="D139" s="492" t="s">
        <v>746</v>
      </c>
      <c r="E139" s="492" t="s">
        <v>747</v>
      </c>
      <c r="F139" s="493">
        <v>1</v>
      </c>
      <c r="G139" s="494" t="s">
        <v>192</v>
      </c>
      <c r="H139" s="492"/>
      <c r="I139" s="492"/>
      <c r="J139" s="492"/>
      <c r="K139" s="492"/>
      <c r="L139" s="492"/>
      <c r="M139" s="492"/>
      <c r="N139" s="492" t="s">
        <v>708</v>
      </c>
      <c r="O139" s="492" t="s">
        <v>429</v>
      </c>
      <c r="P139" s="492" t="s">
        <v>521</v>
      </c>
      <c r="Q139" s="492" t="s">
        <v>431</v>
      </c>
      <c r="R139" s="492" t="s">
        <v>432</v>
      </c>
      <c r="S139" s="499">
        <v>42206</v>
      </c>
      <c r="T139" s="492" t="s">
        <v>433</v>
      </c>
      <c r="U139" s="492" t="s">
        <v>432</v>
      </c>
      <c r="V139" s="499"/>
      <c r="W139" s="499">
        <v>42218</v>
      </c>
      <c r="X139" s="500">
        <v>4850</v>
      </c>
    </row>
    <row r="140" spans="1:24">
      <c r="A140" s="492" t="s">
        <v>423</v>
      </c>
      <c r="B140" s="492" t="s">
        <v>705</v>
      </c>
      <c r="C140" s="492" t="s">
        <v>563</v>
      </c>
      <c r="D140" s="492" t="s">
        <v>748</v>
      </c>
      <c r="E140" s="492" t="s">
        <v>749</v>
      </c>
      <c r="F140" s="493">
        <v>1</v>
      </c>
      <c r="G140" s="494" t="s">
        <v>192</v>
      </c>
      <c r="H140" s="492"/>
      <c r="I140" s="492"/>
      <c r="J140" s="492"/>
      <c r="K140" s="492"/>
      <c r="L140" s="492"/>
      <c r="M140" s="492"/>
      <c r="N140" s="492" t="s">
        <v>708</v>
      </c>
      <c r="O140" s="492" t="s">
        <v>429</v>
      </c>
      <c r="P140" s="492" t="s">
        <v>521</v>
      </c>
      <c r="Q140" s="492" t="s">
        <v>431</v>
      </c>
      <c r="R140" s="492" t="s">
        <v>432</v>
      </c>
      <c r="S140" s="499">
        <v>42206</v>
      </c>
      <c r="T140" s="492" t="s">
        <v>433</v>
      </c>
      <c r="U140" s="492" t="s">
        <v>432</v>
      </c>
      <c r="V140" s="499"/>
      <c r="W140" s="499">
        <v>42218</v>
      </c>
      <c r="X140" s="500">
        <v>7500</v>
      </c>
    </row>
    <row r="141" spans="1:24">
      <c r="A141" s="492" t="s">
        <v>423</v>
      </c>
      <c r="B141" s="492" t="s">
        <v>705</v>
      </c>
      <c r="C141" s="492" t="s">
        <v>567</v>
      </c>
      <c r="D141" s="492" t="s">
        <v>750</v>
      </c>
      <c r="E141" s="492" t="s">
        <v>751</v>
      </c>
      <c r="F141" s="493">
        <v>6</v>
      </c>
      <c r="G141" s="494" t="s">
        <v>192</v>
      </c>
      <c r="H141" s="492"/>
      <c r="I141" s="492"/>
      <c r="J141" s="492"/>
      <c r="K141" s="492"/>
      <c r="L141" s="492"/>
      <c r="M141" s="492"/>
      <c r="N141" s="492" t="s">
        <v>708</v>
      </c>
      <c r="O141" s="492" t="s">
        <v>429</v>
      </c>
      <c r="P141" s="492" t="s">
        <v>521</v>
      </c>
      <c r="Q141" s="492" t="s">
        <v>431</v>
      </c>
      <c r="R141" s="492" t="s">
        <v>432</v>
      </c>
      <c r="S141" s="499">
        <v>42206</v>
      </c>
      <c r="T141" s="492" t="s">
        <v>433</v>
      </c>
      <c r="U141" s="492" t="s">
        <v>432</v>
      </c>
      <c r="V141" s="499"/>
      <c r="W141" s="499">
        <v>42218</v>
      </c>
      <c r="X141" s="500">
        <v>2460</v>
      </c>
    </row>
    <row r="142" spans="1:24">
      <c r="A142" s="492" t="s">
        <v>423</v>
      </c>
      <c r="B142" s="492" t="s">
        <v>705</v>
      </c>
      <c r="C142" s="492" t="s">
        <v>571</v>
      </c>
      <c r="D142" s="492" t="s">
        <v>752</v>
      </c>
      <c r="E142" s="492" t="s">
        <v>753</v>
      </c>
      <c r="F142" s="493">
        <v>6</v>
      </c>
      <c r="G142" s="494" t="s">
        <v>192</v>
      </c>
      <c r="H142" s="492"/>
      <c r="I142" s="492"/>
      <c r="J142" s="492"/>
      <c r="K142" s="492"/>
      <c r="L142" s="492"/>
      <c r="M142" s="492"/>
      <c r="N142" s="492" t="s">
        <v>708</v>
      </c>
      <c r="O142" s="492" t="s">
        <v>429</v>
      </c>
      <c r="P142" s="492" t="s">
        <v>521</v>
      </c>
      <c r="Q142" s="492" t="s">
        <v>431</v>
      </c>
      <c r="R142" s="492" t="s">
        <v>432</v>
      </c>
      <c r="S142" s="499">
        <v>42206</v>
      </c>
      <c r="T142" s="492" t="s">
        <v>433</v>
      </c>
      <c r="U142" s="492" t="s">
        <v>432</v>
      </c>
      <c r="V142" s="499"/>
      <c r="W142" s="499">
        <v>42218</v>
      </c>
      <c r="X142" s="500">
        <v>2760</v>
      </c>
    </row>
    <row r="143" spans="1:24">
      <c r="A143" s="492" t="s">
        <v>423</v>
      </c>
      <c r="B143" s="492" t="s">
        <v>705</v>
      </c>
      <c r="C143" s="492" t="s">
        <v>574</v>
      </c>
      <c r="D143" s="492" t="s">
        <v>754</v>
      </c>
      <c r="E143" s="492" t="s">
        <v>755</v>
      </c>
      <c r="F143" s="493">
        <v>1</v>
      </c>
      <c r="G143" s="494" t="s">
        <v>192</v>
      </c>
      <c r="H143" s="492"/>
      <c r="I143" s="492"/>
      <c r="J143" s="492"/>
      <c r="K143" s="492"/>
      <c r="L143" s="492"/>
      <c r="M143" s="492"/>
      <c r="N143" s="492" t="s">
        <v>708</v>
      </c>
      <c r="O143" s="492" t="s">
        <v>429</v>
      </c>
      <c r="P143" s="492" t="s">
        <v>521</v>
      </c>
      <c r="Q143" s="492" t="s">
        <v>431</v>
      </c>
      <c r="R143" s="492" t="s">
        <v>432</v>
      </c>
      <c r="S143" s="499">
        <v>42206</v>
      </c>
      <c r="T143" s="492" t="s">
        <v>433</v>
      </c>
      <c r="U143" s="492" t="s">
        <v>432</v>
      </c>
      <c r="V143" s="499"/>
      <c r="W143" s="499">
        <v>42218</v>
      </c>
      <c r="X143" s="500">
        <v>3850</v>
      </c>
    </row>
    <row r="144" spans="1:24">
      <c r="A144" s="492" t="s">
        <v>423</v>
      </c>
      <c r="B144" s="492" t="s">
        <v>705</v>
      </c>
      <c r="C144" s="492" t="s">
        <v>577</v>
      </c>
      <c r="D144" s="492" t="s">
        <v>756</v>
      </c>
      <c r="E144" s="492" t="s">
        <v>757</v>
      </c>
      <c r="F144" s="493">
        <v>1</v>
      </c>
      <c r="G144" s="494" t="s">
        <v>192</v>
      </c>
      <c r="H144" s="492"/>
      <c r="I144" s="492"/>
      <c r="J144" s="492"/>
      <c r="K144" s="492"/>
      <c r="L144" s="492"/>
      <c r="M144" s="492"/>
      <c r="N144" s="492" t="s">
        <v>708</v>
      </c>
      <c r="O144" s="492" t="s">
        <v>429</v>
      </c>
      <c r="P144" s="492" t="s">
        <v>521</v>
      </c>
      <c r="Q144" s="492" t="s">
        <v>431</v>
      </c>
      <c r="R144" s="492" t="s">
        <v>432</v>
      </c>
      <c r="S144" s="499">
        <v>42206</v>
      </c>
      <c r="T144" s="492" t="s">
        <v>433</v>
      </c>
      <c r="U144" s="492" t="s">
        <v>432</v>
      </c>
      <c r="V144" s="499"/>
      <c r="W144" s="499">
        <v>42218</v>
      </c>
      <c r="X144" s="500">
        <v>4100</v>
      </c>
    </row>
    <row r="145" spans="1:24">
      <c r="A145" s="492" t="s">
        <v>423</v>
      </c>
      <c r="B145" s="492" t="s">
        <v>705</v>
      </c>
      <c r="C145" s="492" t="s">
        <v>580</v>
      </c>
      <c r="D145" s="492" t="s">
        <v>758</v>
      </c>
      <c r="E145" s="492" t="s">
        <v>759</v>
      </c>
      <c r="F145" s="493">
        <v>1</v>
      </c>
      <c r="G145" s="494" t="s">
        <v>721</v>
      </c>
      <c r="H145" s="492"/>
      <c r="I145" s="492"/>
      <c r="J145" s="492"/>
      <c r="K145" s="492"/>
      <c r="L145" s="492"/>
      <c r="M145" s="492"/>
      <c r="N145" s="492" t="s">
        <v>708</v>
      </c>
      <c r="O145" s="492" t="s">
        <v>429</v>
      </c>
      <c r="P145" s="492" t="s">
        <v>521</v>
      </c>
      <c r="Q145" s="492" t="s">
        <v>431</v>
      </c>
      <c r="R145" s="492" t="s">
        <v>432</v>
      </c>
      <c r="S145" s="499">
        <v>42206</v>
      </c>
      <c r="T145" s="492" t="s">
        <v>433</v>
      </c>
      <c r="U145" s="492" t="s">
        <v>432</v>
      </c>
      <c r="V145" s="499"/>
      <c r="W145" s="499">
        <v>42218</v>
      </c>
      <c r="X145" s="500">
        <v>500</v>
      </c>
    </row>
    <row r="146" spans="1:24">
      <c r="A146" s="492" t="s">
        <v>423</v>
      </c>
      <c r="B146" s="492" t="s">
        <v>705</v>
      </c>
      <c r="C146" s="492" t="s">
        <v>583</v>
      </c>
      <c r="D146" s="492" t="s">
        <v>760</v>
      </c>
      <c r="E146" s="492" t="s">
        <v>761</v>
      </c>
      <c r="F146" s="493">
        <v>6</v>
      </c>
      <c r="G146" s="494" t="s">
        <v>192</v>
      </c>
      <c r="H146" s="492"/>
      <c r="I146" s="492"/>
      <c r="J146" s="492"/>
      <c r="K146" s="492"/>
      <c r="L146" s="492"/>
      <c r="M146" s="492"/>
      <c r="N146" s="492" t="s">
        <v>708</v>
      </c>
      <c r="O146" s="492" t="s">
        <v>429</v>
      </c>
      <c r="P146" s="492" t="s">
        <v>521</v>
      </c>
      <c r="Q146" s="492" t="s">
        <v>431</v>
      </c>
      <c r="R146" s="492" t="s">
        <v>432</v>
      </c>
      <c r="S146" s="499">
        <v>42206</v>
      </c>
      <c r="T146" s="492" t="s">
        <v>433</v>
      </c>
      <c r="U146" s="492" t="s">
        <v>432</v>
      </c>
      <c r="V146" s="499"/>
      <c r="W146" s="499">
        <v>42218</v>
      </c>
      <c r="X146" s="500">
        <v>900</v>
      </c>
    </row>
    <row r="147" spans="1:24">
      <c r="A147" s="492" t="s">
        <v>423</v>
      </c>
      <c r="B147" s="492" t="s">
        <v>705</v>
      </c>
      <c r="C147" s="492" t="s">
        <v>586</v>
      </c>
      <c r="D147" s="492" t="s">
        <v>762</v>
      </c>
      <c r="E147" s="492" t="s">
        <v>763</v>
      </c>
      <c r="F147" s="493">
        <v>6</v>
      </c>
      <c r="G147" s="494" t="s">
        <v>192</v>
      </c>
      <c r="H147" s="492"/>
      <c r="I147" s="492"/>
      <c r="J147" s="492"/>
      <c r="K147" s="492"/>
      <c r="L147" s="492"/>
      <c r="M147" s="492"/>
      <c r="N147" s="492" t="s">
        <v>708</v>
      </c>
      <c r="O147" s="492" t="s">
        <v>429</v>
      </c>
      <c r="P147" s="492" t="s">
        <v>521</v>
      </c>
      <c r="Q147" s="492" t="s">
        <v>431</v>
      </c>
      <c r="R147" s="492" t="s">
        <v>432</v>
      </c>
      <c r="S147" s="499">
        <v>42206</v>
      </c>
      <c r="T147" s="492" t="s">
        <v>433</v>
      </c>
      <c r="U147" s="492" t="s">
        <v>432</v>
      </c>
      <c r="V147" s="499"/>
      <c r="W147" s="499">
        <v>42218</v>
      </c>
      <c r="X147" s="500">
        <v>2460</v>
      </c>
    </row>
    <row r="148" spans="1:24">
      <c r="A148" s="492" t="s">
        <v>423</v>
      </c>
      <c r="B148" s="492" t="s">
        <v>705</v>
      </c>
      <c r="C148" s="492" t="s">
        <v>589</v>
      </c>
      <c r="D148" s="492" t="s">
        <v>764</v>
      </c>
      <c r="E148" s="492" t="s">
        <v>765</v>
      </c>
      <c r="F148" s="493">
        <v>1</v>
      </c>
      <c r="G148" s="494" t="s">
        <v>192</v>
      </c>
      <c r="H148" s="492"/>
      <c r="I148" s="492"/>
      <c r="J148" s="492"/>
      <c r="K148" s="492"/>
      <c r="L148" s="492"/>
      <c r="M148" s="492"/>
      <c r="N148" s="492" t="s">
        <v>708</v>
      </c>
      <c r="O148" s="492" t="s">
        <v>429</v>
      </c>
      <c r="P148" s="492" t="s">
        <v>521</v>
      </c>
      <c r="Q148" s="492" t="s">
        <v>431</v>
      </c>
      <c r="R148" s="492" t="s">
        <v>432</v>
      </c>
      <c r="S148" s="499">
        <v>42206</v>
      </c>
      <c r="T148" s="492" t="s">
        <v>433</v>
      </c>
      <c r="U148" s="492" t="s">
        <v>432</v>
      </c>
      <c r="V148" s="499"/>
      <c r="W148" s="499">
        <v>42218</v>
      </c>
      <c r="X148" s="500">
        <v>1480</v>
      </c>
    </row>
    <row r="149" spans="1:24">
      <c r="A149" s="492" t="s">
        <v>423</v>
      </c>
      <c r="B149" s="492" t="s">
        <v>705</v>
      </c>
      <c r="C149" s="492" t="s">
        <v>592</v>
      </c>
      <c r="D149" s="492" t="s">
        <v>766</v>
      </c>
      <c r="E149" s="492" t="s">
        <v>767</v>
      </c>
      <c r="F149" s="493">
        <v>6</v>
      </c>
      <c r="G149" s="494" t="s">
        <v>192</v>
      </c>
      <c r="H149" s="492"/>
      <c r="I149" s="492"/>
      <c r="J149" s="492"/>
      <c r="K149" s="492"/>
      <c r="L149" s="492"/>
      <c r="M149" s="492"/>
      <c r="N149" s="492" t="s">
        <v>708</v>
      </c>
      <c r="O149" s="492" t="s">
        <v>429</v>
      </c>
      <c r="P149" s="492" t="s">
        <v>521</v>
      </c>
      <c r="Q149" s="492" t="s">
        <v>431</v>
      </c>
      <c r="R149" s="492" t="s">
        <v>432</v>
      </c>
      <c r="S149" s="499">
        <v>42206</v>
      </c>
      <c r="T149" s="492" t="s">
        <v>433</v>
      </c>
      <c r="U149" s="492" t="s">
        <v>432</v>
      </c>
      <c r="V149" s="499"/>
      <c r="W149" s="499">
        <v>42218</v>
      </c>
      <c r="X149" s="500">
        <v>750</v>
      </c>
    </row>
    <row r="150" spans="1:24">
      <c r="A150" s="492" t="s">
        <v>423</v>
      </c>
      <c r="B150" s="492" t="s">
        <v>705</v>
      </c>
      <c r="C150" s="492" t="s">
        <v>663</v>
      </c>
      <c r="D150" s="492" t="s">
        <v>768</v>
      </c>
      <c r="E150" s="492" t="s">
        <v>769</v>
      </c>
      <c r="F150" s="493">
        <v>1</v>
      </c>
      <c r="G150" s="494" t="s">
        <v>192</v>
      </c>
      <c r="H150" s="492"/>
      <c r="I150" s="492"/>
      <c r="J150" s="492"/>
      <c r="K150" s="492"/>
      <c r="L150" s="492"/>
      <c r="M150" s="492"/>
      <c r="N150" s="492" t="s">
        <v>708</v>
      </c>
      <c r="O150" s="492" t="s">
        <v>429</v>
      </c>
      <c r="P150" s="492" t="s">
        <v>521</v>
      </c>
      <c r="Q150" s="492" t="s">
        <v>431</v>
      </c>
      <c r="R150" s="492" t="s">
        <v>432</v>
      </c>
      <c r="S150" s="499">
        <v>42206</v>
      </c>
      <c r="T150" s="492" t="s">
        <v>433</v>
      </c>
      <c r="U150" s="492" t="s">
        <v>432</v>
      </c>
      <c r="V150" s="499"/>
      <c r="W150" s="499">
        <v>42218</v>
      </c>
      <c r="X150" s="500">
        <v>5200</v>
      </c>
    </row>
    <row r="151" spans="1:24">
      <c r="A151" s="492" t="s">
        <v>423</v>
      </c>
      <c r="B151" s="492" t="s">
        <v>705</v>
      </c>
      <c r="C151" s="492" t="s">
        <v>666</v>
      </c>
      <c r="D151" s="492" t="s">
        <v>770</v>
      </c>
      <c r="E151" s="492" t="s">
        <v>771</v>
      </c>
      <c r="F151" s="493">
        <v>1</v>
      </c>
      <c r="G151" s="494" t="s">
        <v>192</v>
      </c>
      <c r="H151" s="492"/>
      <c r="I151" s="492"/>
      <c r="J151" s="492"/>
      <c r="K151" s="492"/>
      <c r="L151" s="492"/>
      <c r="M151" s="492"/>
      <c r="N151" s="492" t="s">
        <v>708</v>
      </c>
      <c r="O151" s="492" t="s">
        <v>429</v>
      </c>
      <c r="P151" s="492" t="s">
        <v>521</v>
      </c>
      <c r="Q151" s="492" t="s">
        <v>431</v>
      </c>
      <c r="R151" s="492" t="s">
        <v>432</v>
      </c>
      <c r="S151" s="499">
        <v>42206</v>
      </c>
      <c r="T151" s="492" t="s">
        <v>433</v>
      </c>
      <c r="U151" s="492" t="s">
        <v>432</v>
      </c>
      <c r="V151" s="499"/>
      <c r="W151" s="499">
        <v>42218</v>
      </c>
      <c r="X151" s="500">
        <v>8250</v>
      </c>
    </row>
    <row r="152" spans="1:24">
      <c r="A152" s="492" t="s">
        <v>423</v>
      </c>
      <c r="B152" s="492" t="s">
        <v>705</v>
      </c>
      <c r="C152" s="492" t="s">
        <v>669</v>
      </c>
      <c r="D152" s="492" t="s">
        <v>772</v>
      </c>
      <c r="E152" s="492" t="s">
        <v>773</v>
      </c>
      <c r="F152" s="493">
        <v>6</v>
      </c>
      <c r="G152" s="494" t="s">
        <v>192</v>
      </c>
      <c r="H152" s="492"/>
      <c r="I152" s="492"/>
      <c r="J152" s="492"/>
      <c r="K152" s="492"/>
      <c r="L152" s="492"/>
      <c r="M152" s="492"/>
      <c r="N152" s="492" t="s">
        <v>708</v>
      </c>
      <c r="O152" s="492" t="s">
        <v>429</v>
      </c>
      <c r="P152" s="492" t="s">
        <v>521</v>
      </c>
      <c r="Q152" s="492" t="s">
        <v>431</v>
      </c>
      <c r="R152" s="492" t="s">
        <v>432</v>
      </c>
      <c r="S152" s="499">
        <v>42206</v>
      </c>
      <c r="T152" s="492" t="s">
        <v>433</v>
      </c>
      <c r="U152" s="492" t="s">
        <v>432</v>
      </c>
      <c r="V152" s="499"/>
      <c r="W152" s="499">
        <v>42218</v>
      </c>
      <c r="X152" s="500">
        <v>3300</v>
      </c>
    </row>
    <row r="153" spans="1:24">
      <c r="A153" s="492" t="s">
        <v>423</v>
      </c>
      <c r="B153" s="492" t="s">
        <v>705</v>
      </c>
      <c r="C153" s="492" t="s">
        <v>672</v>
      </c>
      <c r="D153" s="492" t="s">
        <v>774</v>
      </c>
      <c r="E153" s="492" t="s">
        <v>775</v>
      </c>
      <c r="F153" s="493">
        <v>6</v>
      </c>
      <c r="G153" s="494" t="s">
        <v>192</v>
      </c>
      <c r="H153" s="492"/>
      <c r="I153" s="492"/>
      <c r="J153" s="492"/>
      <c r="K153" s="492"/>
      <c r="L153" s="492"/>
      <c r="M153" s="492"/>
      <c r="N153" s="492" t="s">
        <v>708</v>
      </c>
      <c r="O153" s="492" t="s">
        <v>429</v>
      </c>
      <c r="P153" s="492" t="s">
        <v>521</v>
      </c>
      <c r="Q153" s="492" t="s">
        <v>431</v>
      </c>
      <c r="R153" s="492" t="s">
        <v>432</v>
      </c>
      <c r="S153" s="499">
        <v>42206</v>
      </c>
      <c r="T153" s="492" t="s">
        <v>433</v>
      </c>
      <c r="U153" s="492" t="s">
        <v>432</v>
      </c>
      <c r="V153" s="499"/>
      <c r="W153" s="499">
        <v>42218</v>
      </c>
      <c r="X153" s="500">
        <v>3900</v>
      </c>
    </row>
    <row r="154" spans="1:24">
      <c r="A154" s="492" t="s">
        <v>423</v>
      </c>
      <c r="B154" s="492" t="s">
        <v>705</v>
      </c>
      <c r="C154" s="492" t="s">
        <v>675</v>
      </c>
      <c r="D154" s="492" t="s">
        <v>776</v>
      </c>
      <c r="E154" s="492" t="s">
        <v>777</v>
      </c>
      <c r="F154" s="493">
        <v>1</v>
      </c>
      <c r="G154" s="494" t="s">
        <v>192</v>
      </c>
      <c r="H154" s="492"/>
      <c r="I154" s="492"/>
      <c r="J154" s="492"/>
      <c r="K154" s="492"/>
      <c r="L154" s="492"/>
      <c r="M154" s="492"/>
      <c r="N154" s="492" t="s">
        <v>708</v>
      </c>
      <c r="O154" s="492" t="s">
        <v>429</v>
      </c>
      <c r="P154" s="492" t="s">
        <v>521</v>
      </c>
      <c r="Q154" s="492" t="s">
        <v>431</v>
      </c>
      <c r="R154" s="492" t="s">
        <v>432</v>
      </c>
      <c r="S154" s="499">
        <v>42206</v>
      </c>
      <c r="T154" s="492" t="s">
        <v>433</v>
      </c>
      <c r="U154" s="492" t="s">
        <v>432</v>
      </c>
      <c r="V154" s="499"/>
      <c r="W154" s="499">
        <v>42218</v>
      </c>
      <c r="X154" s="500">
        <v>4210</v>
      </c>
    </row>
    <row r="155" spans="1:24">
      <c r="A155" s="492" t="s">
        <v>423</v>
      </c>
      <c r="B155" s="492" t="s">
        <v>705</v>
      </c>
      <c r="C155" s="492" t="s">
        <v>680</v>
      </c>
      <c r="D155" s="492" t="s">
        <v>778</v>
      </c>
      <c r="E155" s="492" t="s">
        <v>779</v>
      </c>
      <c r="F155" s="493">
        <v>1</v>
      </c>
      <c r="G155" s="494" t="s">
        <v>192</v>
      </c>
      <c r="H155" s="492"/>
      <c r="I155" s="492"/>
      <c r="J155" s="492"/>
      <c r="K155" s="492"/>
      <c r="L155" s="492"/>
      <c r="M155" s="492"/>
      <c r="N155" s="492" t="s">
        <v>708</v>
      </c>
      <c r="O155" s="492" t="s">
        <v>429</v>
      </c>
      <c r="P155" s="492" t="s">
        <v>521</v>
      </c>
      <c r="Q155" s="492" t="s">
        <v>431</v>
      </c>
      <c r="R155" s="492" t="s">
        <v>432</v>
      </c>
      <c r="S155" s="499">
        <v>42206</v>
      </c>
      <c r="T155" s="492" t="s">
        <v>433</v>
      </c>
      <c r="U155" s="492" t="s">
        <v>432</v>
      </c>
      <c r="V155" s="499"/>
      <c r="W155" s="499">
        <v>42218</v>
      </c>
      <c r="X155" s="500">
        <v>4100</v>
      </c>
    </row>
    <row r="156" spans="1:24">
      <c r="A156" s="492" t="s">
        <v>423</v>
      </c>
      <c r="B156" s="492" t="s">
        <v>705</v>
      </c>
      <c r="C156" s="492" t="s">
        <v>683</v>
      </c>
      <c r="D156" s="492" t="s">
        <v>780</v>
      </c>
      <c r="E156" s="492" t="s">
        <v>781</v>
      </c>
      <c r="F156" s="493">
        <v>1</v>
      </c>
      <c r="G156" s="494" t="s">
        <v>721</v>
      </c>
      <c r="H156" s="492"/>
      <c r="I156" s="492"/>
      <c r="J156" s="492"/>
      <c r="K156" s="492"/>
      <c r="L156" s="492"/>
      <c r="M156" s="492"/>
      <c r="N156" s="492" t="s">
        <v>708</v>
      </c>
      <c r="O156" s="492" t="s">
        <v>429</v>
      </c>
      <c r="P156" s="492" t="s">
        <v>521</v>
      </c>
      <c r="Q156" s="492" t="s">
        <v>431</v>
      </c>
      <c r="R156" s="492" t="s">
        <v>432</v>
      </c>
      <c r="S156" s="499">
        <v>42206</v>
      </c>
      <c r="T156" s="492" t="s">
        <v>433</v>
      </c>
      <c r="U156" s="492" t="s">
        <v>432</v>
      </c>
      <c r="V156" s="499"/>
      <c r="W156" s="499">
        <v>42218</v>
      </c>
      <c r="X156" s="500">
        <v>550</v>
      </c>
    </row>
    <row r="157" spans="1:24">
      <c r="A157" s="492" t="s">
        <v>423</v>
      </c>
      <c r="B157" s="492" t="s">
        <v>705</v>
      </c>
      <c r="C157" s="492" t="s">
        <v>782</v>
      </c>
      <c r="D157" s="492" t="s">
        <v>783</v>
      </c>
      <c r="E157" s="492" t="s">
        <v>784</v>
      </c>
      <c r="F157" s="493">
        <v>6</v>
      </c>
      <c r="G157" s="494" t="s">
        <v>192</v>
      </c>
      <c r="H157" s="492"/>
      <c r="I157" s="492"/>
      <c r="J157" s="492"/>
      <c r="K157" s="492"/>
      <c r="L157" s="492"/>
      <c r="M157" s="492"/>
      <c r="N157" s="492" t="s">
        <v>708</v>
      </c>
      <c r="O157" s="492" t="s">
        <v>429</v>
      </c>
      <c r="P157" s="492" t="s">
        <v>521</v>
      </c>
      <c r="Q157" s="492" t="s">
        <v>431</v>
      </c>
      <c r="R157" s="492" t="s">
        <v>432</v>
      </c>
      <c r="S157" s="499">
        <v>42206</v>
      </c>
      <c r="T157" s="492" t="s">
        <v>433</v>
      </c>
      <c r="U157" s="492" t="s">
        <v>432</v>
      </c>
      <c r="V157" s="499"/>
      <c r="W157" s="499">
        <v>42218</v>
      </c>
      <c r="X157" s="500">
        <v>1860</v>
      </c>
    </row>
    <row r="158" spans="1:24">
      <c r="A158" s="492" t="s">
        <v>423</v>
      </c>
      <c r="B158" s="492" t="s">
        <v>705</v>
      </c>
      <c r="C158" s="492" t="s">
        <v>785</v>
      </c>
      <c r="D158" s="492" t="s">
        <v>786</v>
      </c>
      <c r="E158" s="492" t="s">
        <v>787</v>
      </c>
      <c r="F158" s="493">
        <v>6</v>
      </c>
      <c r="G158" s="494" t="s">
        <v>192</v>
      </c>
      <c r="H158" s="492"/>
      <c r="I158" s="492"/>
      <c r="J158" s="492"/>
      <c r="K158" s="492"/>
      <c r="L158" s="492"/>
      <c r="M158" s="492"/>
      <c r="N158" s="492" t="s">
        <v>708</v>
      </c>
      <c r="O158" s="492" t="s">
        <v>429</v>
      </c>
      <c r="P158" s="492" t="s">
        <v>521</v>
      </c>
      <c r="Q158" s="492" t="s">
        <v>431</v>
      </c>
      <c r="R158" s="492" t="s">
        <v>432</v>
      </c>
      <c r="S158" s="499">
        <v>42206</v>
      </c>
      <c r="T158" s="492" t="s">
        <v>433</v>
      </c>
      <c r="U158" s="492" t="s">
        <v>432</v>
      </c>
      <c r="V158" s="499"/>
      <c r="W158" s="499">
        <v>42218</v>
      </c>
      <c r="X158" s="500">
        <v>2700</v>
      </c>
    </row>
    <row r="159" spans="1:24">
      <c r="A159" s="492" t="s">
        <v>423</v>
      </c>
      <c r="B159" s="492" t="s">
        <v>705</v>
      </c>
      <c r="C159" s="492" t="s">
        <v>788</v>
      </c>
      <c r="D159" s="492" t="s">
        <v>789</v>
      </c>
      <c r="E159" s="492" t="s">
        <v>790</v>
      </c>
      <c r="F159" s="493">
        <v>6</v>
      </c>
      <c r="G159" s="494" t="s">
        <v>192</v>
      </c>
      <c r="H159" s="492"/>
      <c r="I159" s="492"/>
      <c r="J159" s="492"/>
      <c r="K159" s="492"/>
      <c r="L159" s="492"/>
      <c r="M159" s="492"/>
      <c r="N159" s="492" t="s">
        <v>708</v>
      </c>
      <c r="O159" s="492" t="s">
        <v>429</v>
      </c>
      <c r="P159" s="492" t="s">
        <v>521</v>
      </c>
      <c r="Q159" s="492" t="s">
        <v>431</v>
      </c>
      <c r="R159" s="492" t="s">
        <v>432</v>
      </c>
      <c r="S159" s="499">
        <v>42206</v>
      </c>
      <c r="T159" s="492" t="s">
        <v>433</v>
      </c>
      <c r="U159" s="492" t="s">
        <v>432</v>
      </c>
      <c r="V159" s="499"/>
      <c r="W159" s="499">
        <v>42218</v>
      </c>
      <c r="X159" s="500">
        <v>6300</v>
      </c>
    </row>
    <row r="160" spans="1:24">
      <c r="A160" s="492" t="s">
        <v>423</v>
      </c>
      <c r="B160" s="492" t="s">
        <v>705</v>
      </c>
      <c r="C160" s="492" t="s">
        <v>791</v>
      </c>
      <c r="D160" s="492" t="s">
        <v>792</v>
      </c>
      <c r="E160" s="492" t="s">
        <v>793</v>
      </c>
      <c r="F160" s="493">
        <v>6</v>
      </c>
      <c r="G160" s="494" t="s">
        <v>192</v>
      </c>
      <c r="H160" s="492"/>
      <c r="I160" s="492"/>
      <c r="J160" s="492"/>
      <c r="K160" s="492"/>
      <c r="L160" s="492"/>
      <c r="M160" s="492"/>
      <c r="N160" s="492" t="s">
        <v>708</v>
      </c>
      <c r="O160" s="492" t="s">
        <v>429</v>
      </c>
      <c r="P160" s="492" t="s">
        <v>521</v>
      </c>
      <c r="Q160" s="492" t="s">
        <v>431</v>
      </c>
      <c r="R160" s="492" t="s">
        <v>432</v>
      </c>
      <c r="S160" s="499">
        <v>42206</v>
      </c>
      <c r="T160" s="492" t="s">
        <v>433</v>
      </c>
      <c r="U160" s="492" t="s">
        <v>432</v>
      </c>
      <c r="V160" s="499"/>
      <c r="W160" s="499">
        <v>42218</v>
      </c>
      <c r="X160" s="500">
        <v>2880</v>
      </c>
    </row>
    <row r="161" spans="1:24">
      <c r="A161" s="492" t="s">
        <v>423</v>
      </c>
      <c r="B161" s="492" t="s">
        <v>705</v>
      </c>
      <c r="C161" s="492" t="s">
        <v>794</v>
      </c>
      <c r="D161" s="492" t="s">
        <v>795</v>
      </c>
      <c r="E161" s="492" t="s">
        <v>796</v>
      </c>
      <c r="F161" s="493">
        <v>6</v>
      </c>
      <c r="G161" s="494" t="s">
        <v>192</v>
      </c>
      <c r="H161" s="492"/>
      <c r="I161" s="492"/>
      <c r="J161" s="492"/>
      <c r="K161" s="492"/>
      <c r="L161" s="492"/>
      <c r="M161" s="492"/>
      <c r="N161" s="492" t="s">
        <v>708</v>
      </c>
      <c r="O161" s="492" t="s">
        <v>429</v>
      </c>
      <c r="P161" s="492" t="s">
        <v>521</v>
      </c>
      <c r="Q161" s="492" t="s">
        <v>431</v>
      </c>
      <c r="R161" s="492" t="s">
        <v>432</v>
      </c>
      <c r="S161" s="499">
        <v>42206</v>
      </c>
      <c r="T161" s="492" t="s">
        <v>433</v>
      </c>
      <c r="U161" s="492" t="s">
        <v>432</v>
      </c>
      <c r="V161" s="499"/>
      <c r="W161" s="499">
        <v>42218</v>
      </c>
      <c r="X161" s="500">
        <v>960</v>
      </c>
    </row>
    <row r="162" spans="1:24">
      <c r="A162" s="492" t="s">
        <v>423</v>
      </c>
      <c r="B162" s="492" t="s">
        <v>705</v>
      </c>
      <c r="C162" s="492" t="s">
        <v>797</v>
      </c>
      <c r="D162" s="492" t="s">
        <v>798</v>
      </c>
      <c r="E162" s="492" t="s">
        <v>799</v>
      </c>
      <c r="F162" s="493">
        <v>6</v>
      </c>
      <c r="G162" s="494" t="s">
        <v>192</v>
      </c>
      <c r="H162" s="492"/>
      <c r="I162" s="492"/>
      <c r="J162" s="492"/>
      <c r="K162" s="492"/>
      <c r="L162" s="492"/>
      <c r="M162" s="492"/>
      <c r="N162" s="492" t="s">
        <v>708</v>
      </c>
      <c r="O162" s="492" t="s">
        <v>429</v>
      </c>
      <c r="P162" s="492" t="s">
        <v>521</v>
      </c>
      <c r="Q162" s="492" t="s">
        <v>431</v>
      </c>
      <c r="R162" s="492" t="s">
        <v>432</v>
      </c>
      <c r="S162" s="499">
        <v>42206</v>
      </c>
      <c r="T162" s="492" t="s">
        <v>433</v>
      </c>
      <c r="U162" s="492" t="s">
        <v>432</v>
      </c>
      <c r="V162" s="499"/>
      <c r="W162" s="499">
        <v>42218</v>
      </c>
      <c r="X162" s="500">
        <v>960</v>
      </c>
    </row>
    <row r="163" spans="1:24">
      <c r="A163" s="492" t="s">
        <v>423</v>
      </c>
      <c r="B163" s="492" t="s">
        <v>705</v>
      </c>
      <c r="C163" s="492" t="s">
        <v>800</v>
      </c>
      <c r="D163" s="492" t="s">
        <v>801</v>
      </c>
      <c r="E163" s="492" t="s">
        <v>802</v>
      </c>
      <c r="F163" s="493">
        <v>6</v>
      </c>
      <c r="G163" s="494" t="s">
        <v>192</v>
      </c>
      <c r="H163" s="492"/>
      <c r="I163" s="492"/>
      <c r="J163" s="492"/>
      <c r="K163" s="492"/>
      <c r="L163" s="492"/>
      <c r="M163" s="492"/>
      <c r="N163" s="492" t="s">
        <v>708</v>
      </c>
      <c r="O163" s="492" t="s">
        <v>429</v>
      </c>
      <c r="P163" s="492" t="s">
        <v>521</v>
      </c>
      <c r="Q163" s="492" t="s">
        <v>431</v>
      </c>
      <c r="R163" s="492" t="s">
        <v>432</v>
      </c>
      <c r="S163" s="499">
        <v>42206</v>
      </c>
      <c r="T163" s="492" t="s">
        <v>433</v>
      </c>
      <c r="U163" s="492" t="s">
        <v>432</v>
      </c>
      <c r="V163" s="499"/>
      <c r="W163" s="499">
        <v>42218</v>
      </c>
      <c r="X163" s="500">
        <v>3300</v>
      </c>
    </row>
    <row r="164" spans="1:24">
      <c r="A164" s="492" t="s">
        <v>423</v>
      </c>
      <c r="B164" s="492" t="s">
        <v>705</v>
      </c>
      <c r="C164" s="492" t="s">
        <v>803</v>
      </c>
      <c r="D164" s="492" t="s">
        <v>804</v>
      </c>
      <c r="E164" s="492" t="s">
        <v>805</v>
      </c>
      <c r="F164" s="493">
        <v>6</v>
      </c>
      <c r="G164" s="494" t="s">
        <v>192</v>
      </c>
      <c r="H164" s="492"/>
      <c r="I164" s="492"/>
      <c r="J164" s="492"/>
      <c r="K164" s="492"/>
      <c r="L164" s="492"/>
      <c r="M164" s="492"/>
      <c r="N164" s="492" t="s">
        <v>708</v>
      </c>
      <c r="O164" s="492" t="s">
        <v>429</v>
      </c>
      <c r="P164" s="492" t="s">
        <v>521</v>
      </c>
      <c r="Q164" s="492" t="s">
        <v>431</v>
      </c>
      <c r="R164" s="492" t="s">
        <v>432</v>
      </c>
      <c r="S164" s="499">
        <v>42206</v>
      </c>
      <c r="T164" s="492" t="s">
        <v>433</v>
      </c>
      <c r="U164" s="492" t="s">
        <v>432</v>
      </c>
      <c r="V164" s="499"/>
      <c r="W164" s="499">
        <v>42218</v>
      </c>
      <c r="X164" s="500">
        <v>1500</v>
      </c>
    </row>
    <row r="165" spans="1:24">
      <c r="A165" s="492" t="s">
        <v>423</v>
      </c>
      <c r="B165" s="492" t="s">
        <v>705</v>
      </c>
      <c r="C165" s="492" t="s">
        <v>806</v>
      </c>
      <c r="D165" s="492" t="s">
        <v>807</v>
      </c>
      <c r="E165" s="492" t="s">
        <v>808</v>
      </c>
      <c r="F165" s="493">
        <v>6</v>
      </c>
      <c r="G165" s="494" t="s">
        <v>192</v>
      </c>
      <c r="H165" s="492"/>
      <c r="I165" s="492"/>
      <c r="J165" s="492"/>
      <c r="K165" s="492"/>
      <c r="L165" s="492"/>
      <c r="M165" s="492"/>
      <c r="N165" s="492" t="s">
        <v>708</v>
      </c>
      <c r="O165" s="492" t="s">
        <v>429</v>
      </c>
      <c r="P165" s="492" t="s">
        <v>521</v>
      </c>
      <c r="Q165" s="492" t="s">
        <v>431</v>
      </c>
      <c r="R165" s="492" t="s">
        <v>432</v>
      </c>
      <c r="S165" s="499">
        <v>42206</v>
      </c>
      <c r="T165" s="492" t="s">
        <v>433</v>
      </c>
      <c r="U165" s="492" t="s">
        <v>432</v>
      </c>
      <c r="V165" s="499"/>
      <c r="W165" s="499">
        <v>42218</v>
      </c>
      <c r="X165" s="500">
        <v>1740</v>
      </c>
    </row>
    <row r="166" spans="1:24">
      <c r="A166" s="492" t="s">
        <v>423</v>
      </c>
      <c r="B166" s="492" t="s">
        <v>705</v>
      </c>
      <c r="C166" s="492" t="s">
        <v>809</v>
      </c>
      <c r="D166" s="492" t="s">
        <v>810</v>
      </c>
      <c r="E166" s="492" t="s">
        <v>811</v>
      </c>
      <c r="F166" s="493">
        <v>1</v>
      </c>
      <c r="G166" s="494" t="s">
        <v>721</v>
      </c>
      <c r="H166" s="492"/>
      <c r="I166" s="492"/>
      <c r="J166" s="492"/>
      <c r="K166" s="492"/>
      <c r="L166" s="492"/>
      <c r="M166" s="492"/>
      <c r="N166" s="492" t="s">
        <v>708</v>
      </c>
      <c r="O166" s="492" t="s">
        <v>429</v>
      </c>
      <c r="P166" s="492" t="s">
        <v>521</v>
      </c>
      <c r="Q166" s="492" t="s">
        <v>431</v>
      </c>
      <c r="R166" s="492" t="s">
        <v>432</v>
      </c>
      <c r="S166" s="499">
        <v>42206</v>
      </c>
      <c r="T166" s="492" t="s">
        <v>433</v>
      </c>
      <c r="U166" s="492" t="s">
        <v>432</v>
      </c>
      <c r="V166" s="499"/>
      <c r="W166" s="499">
        <v>42218</v>
      </c>
      <c r="X166" s="500">
        <v>580</v>
      </c>
    </row>
    <row r="167" spans="1:24">
      <c r="A167" s="492" t="s">
        <v>423</v>
      </c>
      <c r="B167" s="492" t="s">
        <v>705</v>
      </c>
      <c r="C167" s="492" t="s">
        <v>812</v>
      </c>
      <c r="D167" s="492" t="s">
        <v>813</v>
      </c>
      <c r="E167" s="492" t="s">
        <v>814</v>
      </c>
      <c r="F167" s="493">
        <v>6</v>
      </c>
      <c r="G167" s="494" t="s">
        <v>192</v>
      </c>
      <c r="H167" s="492"/>
      <c r="I167" s="492"/>
      <c r="J167" s="492"/>
      <c r="K167" s="492"/>
      <c r="L167" s="492"/>
      <c r="M167" s="492"/>
      <c r="N167" s="492" t="s">
        <v>708</v>
      </c>
      <c r="O167" s="492" t="s">
        <v>429</v>
      </c>
      <c r="P167" s="492" t="s">
        <v>521</v>
      </c>
      <c r="Q167" s="492" t="s">
        <v>431</v>
      </c>
      <c r="R167" s="492" t="s">
        <v>432</v>
      </c>
      <c r="S167" s="499">
        <v>42206</v>
      </c>
      <c r="T167" s="492" t="s">
        <v>433</v>
      </c>
      <c r="U167" s="492" t="s">
        <v>432</v>
      </c>
      <c r="V167" s="499"/>
      <c r="W167" s="499">
        <v>42218</v>
      </c>
      <c r="X167" s="500">
        <v>960</v>
      </c>
    </row>
    <row r="168" spans="1:24">
      <c r="A168" s="492" t="s">
        <v>423</v>
      </c>
      <c r="B168" s="492" t="s">
        <v>705</v>
      </c>
      <c r="C168" s="492" t="s">
        <v>815</v>
      </c>
      <c r="D168" s="492" t="s">
        <v>816</v>
      </c>
      <c r="E168" s="492" t="s">
        <v>817</v>
      </c>
      <c r="F168" s="493">
        <v>6</v>
      </c>
      <c r="G168" s="494" t="s">
        <v>192</v>
      </c>
      <c r="H168" s="492"/>
      <c r="I168" s="492"/>
      <c r="J168" s="492"/>
      <c r="K168" s="492"/>
      <c r="L168" s="492"/>
      <c r="M168" s="492"/>
      <c r="N168" s="492" t="s">
        <v>708</v>
      </c>
      <c r="O168" s="492" t="s">
        <v>429</v>
      </c>
      <c r="P168" s="492" t="s">
        <v>521</v>
      </c>
      <c r="Q168" s="492" t="s">
        <v>431</v>
      </c>
      <c r="R168" s="492" t="s">
        <v>432</v>
      </c>
      <c r="S168" s="499">
        <v>42206</v>
      </c>
      <c r="T168" s="492" t="s">
        <v>433</v>
      </c>
      <c r="U168" s="492" t="s">
        <v>432</v>
      </c>
      <c r="V168" s="499"/>
      <c r="W168" s="499">
        <v>42218</v>
      </c>
      <c r="X168" s="500">
        <v>2700</v>
      </c>
    </row>
    <row r="169" spans="1:24">
      <c r="A169" s="492" t="s">
        <v>423</v>
      </c>
      <c r="B169" s="492" t="s">
        <v>705</v>
      </c>
      <c r="C169" s="492" t="s">
        <v>818</v>
      </c>
      <c r="D169" s="492" t="s">
        <v>819</v>
      </c>
      <c r="E169" s="492" t="s">
        <v>820</v>
      </c>
      <c r="F169" s="493">
        <v>6</v>
      </c>
      <c r="G169" s="494" t="s">
        <v>192</v>
      </c>
      <c r="H169" s="492"/>
      <c r="I169" s="492"/>
      <c r="J169" s="492"/>
      <c r="K169" s="492"/>
      <c r="L169" s="492"/>
      <c r="M169" s="492"/>
      <c r="N169" s="492" t="s">
        <v>708</v>
      </c>
      <c r="O169" s="492" t="s">
        <v>429</v>
      </c>
      <c r="P169" s="492" t="s">
        <v>521</v>
      </c>
      <c r="Q169" s="492" t="s">
        <v>431</v>
      </c>
      <c r="R169" s="492" t="s">
        <v>432</v>
      </c>
      <c r="S169" s="499">
        <v>42206</v>
      </c>
      <c r="T169" s="492" t="s">
        <v>433</v>
      </c>
      <c r="U169" s="492" t="s">
        <v>432</v>
      </c>
      <c r="V169" s="499"/>
      <c r="W169" s="499">
        <v>42218</v>
      </c>
      <c r="X169" s="500">
        <v>1020</v>
      </c>
    </row>
    <row r="170" spans="1:24">
      <c r="A170" s="492" t="s">
        <v>423</v>
      </c>
      <c r="B170" s="492" t="s">
        <v>705</v>
      </c>
      <c r="C170" s="492" t="s">
        <v>821</v>
      </c>
      <c r="D170" s="492" t="s">
        <v>822</v>
      </c>
      <c r="E170" s="492" t="s">
        <v>823</v>
      </c>
      <c r="F170" s="493">
        <v>6</v>
      </c>
      <c r="G170" s="494" t="s">
        <v>192</v>
      </c>
      <c r="H170" s="492"/>
      <c r="I170" s="492"/>
      <c r="J170" s="492"/>
      <c r="K170" s="492"/>
      <c r="L170" s="492"/>
      <c r="M170" s="492"/>
      <c r="N170" s="492" t="s">
        <v>708</v>
      </c>
      <c r="O170" s="492" t="s">
        <v>429</v>
      </c>
      <c r="P170" s="492" t="s">
        <v>521</v>
      </c>
      <c r="Q170" s="492" t="s">
        <v>431</v>
      </c>
      <c r="R170" s="492" t="s">
        <v>432</v>
      </c>
      <c r="S170" s="499">
        <v>42206</v>
      </c>
      <c r="T170" s="492" t="s">
        <v>433</v>
      </c>
      <c r="U170" s="492" t="s">
        <v>432</v>
      </c>
      <c r="V170" s="499"/>
      <c r="W170" s="499">
        <v>42218</v>
      </c>
      <c r="X170" s="500">
        <v>1020</v>
      </c>
    </row>
    <row r="171" spans="1:24" s="487" customFormat="1">
      <c r="A171" s="487" t="s">
        <v>402</v>
      </c>
      <c r="B171" s="487" t="s">
        <v>403</v>
      </c>
      <c r="C171" s="487" t="s">
        <v>4</v>
      </c>
      <c r="D171" s="487" t="s">
        <v>404</v>
      </c>
      <c r="E171" s="487" t="s">
        <v>405</v>
      </c>
      <c r="F171" s="488" t="s">
        <v>406</v>
      </c>
      <c r="G171" s="489" t="s">
        <v>407</v>
      </c>
      <c r="N171" s="487" t="s">
        <v>413</v>
      </c>
      <c r="O171" s="487" t="s">
        <v>414</v>
      </c>
      <c r="P171" s="487" t="s">
        <v>415</v>
      </c>
      <c r="Q171" s="487" t="s">
        <v>416</v>
      </c>
      <c r="R171" s="487" t="s">
        <v>90</v>
      </c>
      <c r="S171" s="488" t="s">
        <v>417</v>
      </c>
      <c r="T171" s="487" t="s">
        <v>418</v>
      </c>
      <c r="U171" s="487" t="s">
        <v>419</v>
      </c>
      <c r="V171" s="488" t="s">
        <v>420</v>
      </c>
      <c r="W171" s="488" t="s">
        <v>421</v>
      </c>
      <c r="X171" s="488" t="s">
        <v>422</v>
      </c>
    </row>
    <row r="172" spans="1:24">
      <c r="A172" s="492" t="s">
        <v>423</v>
      </c>
      <c r="B172" s="492" t="s">
        <v>824</v>
      </c>
      <c r="C172" s="492" t="s">
        <v>136</v>
      </c>
      <c r="D172" s="492" t="s">
        <v>825</v>
      </c>
      <c r="E172" s="492" t="s">
        <v>826</v>
      </c>
      <c r="F172" s="493">
        <v>1</v>
      </c>
      <c r="G172" s="494" t="s">
        <v>192</v>
      </c>
      <c r="H172" s="492"/>
      <c r="I172" s="492"/>
      <c r="J172" s="492"/>
      <c r="K172" s="492"/>
      <c r="L172" s="492"/>
      <c r="M172" s="492" t="s">
        <v>827</v>
      </c>
      <c r="N172" s="492" t="s">
        <v>828</v>
      </c>
      <c r="O172" s="492" t="s">
        <v>429</v>
      </c>
      <c r="P172" s="492" t="s">
        <v>521</v>
      </c>
      <c r="Q172" s="492" t="s">
        <v>431</v>
      </c>
      <c r="R172" s="492" t="s">
        <v>432</v>
      </c>
      <c r="S172" s="499">
        <v>42205</v>
      </c>
      <c r="T172" s="492" t="s">
        <v>433</v>
      </c>
      <c r="U172" s="492" t="s">
        <v>432</v>
      </c>
      <c r="V172" s="499"/>
      <c r="W172" s="499">
        <v>42227</v>
      </c>
      <c r="X172" s="500">
        <v>8000</v>
      </c>
    </row>
    <row r="173" spans="1:24">
      <c r="A173" s="492" t="s">
        <v>423</v>
      </c>
      <c r="B173" s="492" t="s">
        <v>824</v>
      </c>
      <c r="C173" s="492" t="s">
        <v>147</v>
      </c>
      <c r="D173" s="492" t="s">
        <v>829</v>
      </c>
      <c r="E173" s="492" t="s">
        <v>830</v>
      </c>
      <c r="F173" s="493">
        <v>1</v>
      </c>
      <c r="G173" s="494" t="s">
        <v>192</v>
      </c>
      <c r="H173" s="492"/>
      <c r="I173" s="492"/>
      <c r="J173" s="492"/>
      <c r="K173" s="492"/>
      <c r="L173" s="492"/>
      <c r="M173" s="492" t="s">
        <v>831</v>
      </c>
      <c r="N173" s="492" t="s">
        <v>828</v>
      </c>
      <c r="O173" s="492" t="s">
        <v>429</v>
      </c>
      <c r="P173" s="492" t="s">
        <v>521</v>
      </c>
      <c r="Q173" s="492" t="s">
        <v>431</v>
      </c>
      <c r="R173" s="492" t="s">
        <v>432</v>
      </c>
      <c r="S173" s="499">
        <v>42205</v>
      </c>
      <c r="T173" s="492" t="s">
        <v>433</v>
      </c>
      <c r="U173" s="492" t="s">
        <v>432</v>
      </c>
      <c r="V173" s="499"/>
      <c r="W173" s="499">
        <v>42227</v>
      </c>
      <c r="X173" s="500">
        <v>8000</v>
      </c>
    </row>
    <row r="174" spans="1:24">
      <c r="A174" s="492" t="s">
        <v>423</v>
      </c>
      <c r="B174" s="492" t="s">
        <v>824</v>
      </c>
      <c r="C174" s="492" t="s">
        <v>150</v>
      </c>
      <c r="D174" s="492" t="s">
        <v>832</v>
      </c>
      <c r="E174" s="492" t="s">
        <v>833</v>
      </c>
      <c r="F174" s="493">
        <v>1</v>
      </c>
      <c r="G174" s="494" t="s">
        <v>192</v>
      </c>
      <c r="H174" s="492"/>
      <c r="I174" s="492"/>
      <c r="J174" s="492"/>
      <c r="K174" s="492"/>
      <c r="L174" s="492"/>
      <c r="M174" s="492" t="s">
        <v>831</v>
      </c>
      <c r="N174" s="492" t="s">
        <v>828</v>
      </c>
      <c r="O174" s="492" t="s">
        <v>429</v>
      </c>
      <c r="P174" s="492" t="s">
        <v>521</v>
      </c>
      <c r="Q174" s="492" t="s">
        <v>431</v>
      </c>
      <c r="R174" s="492" t="s">
        <v>432</v>
      </c>
      <c r="S174" s="499">
        <v>42205</v>
      </c>
      <c r="T174" s="492" t="s">
        <v>433</v>
      </c>
      <c r="U174" s="492" t="s">
        <v>432</v>
      </c>
      <c r="V174" s="499"/>
      <c r="W174" s="499">
        <v>42227</v>
      </c>
      <c r="X174" s="500">
        <v>32000</v>
      </c>
    </row>
    <row r="175" spans="1:24">
      <c r="A175" s="492" t="s">
        <v>423</v>
      </c>
      <c r="B175" s="492" t="s">
        <v>824</v>
      </c>
      <c r="C175" s="492" t="s">
        <v>152</v>
      </c>
      <c r="D175" s="492" t="s">
        <v>834</v>
      </c>
      <c r="E175" s="492" t="s">
        <v>835</v>
      </c>
      <c r="F175" s="493">
        <v>1</v>
      </c>
      <c r="G175" s="494" t="s">
        <v>192</v>
      </c>
      <c r="H175" s="492"/>
      <c r="I175" s="492"/>
      <c r="J175" s="492"/>
      <c r="K175" s="492"/>
      <c r="L175" s="492"/>
      <c r="M175" s="492" t="s">
        <v>836</v>
      </c>
      <c r="N175" s="492" t="s">
        <v>828</v>
      </c>
      <c r="O175" s="492" t="s">
        <v>429</v>
      </c>
      <c r="P175" s="492" t="s">
        <v>521</v>
      </c>
      <c r="Q175" s="492" t="s">
        <v>431</v>
      </c>
      <c r="R175" s="492" t="s">
        <v>432</v>
      </c>
      <c r="S175" s="499">
        <v>42205</v>
      </c>
      <c r="T175" s="492" t="s">
        <v>433</v>
      </c>
      <c r="U175" s="492" t="s">
        <v>432</v>
      </c>
      <c r="V175" s="499"/>
      <c r="W175" s="499">
        <v>42227</v>
      </c>
      <c r="X175" s="500">
        <v>32000</v>
      </c>
    </row>
    <row r="176" spans="1:24">
      <c r="A176" s="492" t="s">
        <v>423</v>
      </c>
      <c r="B176" s="492" t="s">
        <v>824</v>
      </c>
      <c r="C176" s="492" t="s">
        <v>140</v>
      </c>
      <c r="D176" s="492" t="s">
        <v>837</v>
      </c>
      <c r="E176" s="492" t="s">
        <v>838</v>
      </c>
      <c r="F176" s="493">
        <v>1</v>
      </c>
      <c r="G176" s="494" t="s">
        <v>192</v>
      </c>
      <c r="H176" s="492"/>
      <c r="I176" s="492"/>
      <c r="J176" s="492"/>
      <c r="K176" s="492"/>
      <c r="L176" s="492"/>
      <c r="M176" s="492" t="s">
        <v>839</v>
      </c>
      <c r="N176" s="492" t="s">
        <v>828</v>
      </c>
      <c r="O176" s="492" t="s">
        <v>429</v>
      </c>
      <c r="P176" s="492" t="s">
        <v>521</v>
      </c>
      <c r="Q176" s="492" t="s">
        <v>431</v>
      </c>
      <c r="R176" s="492" t="s">
        <v>432</v>
      </c>
      <c r="S176" s="499">
        <v>42205</v>
      </c>
      <c r="T176" s="492" t="s">
        <v>433</v>
      </c>
      <c r="U176" s="492" t="s">
        <v>432</v>
      </c>
      <c r="V176" s="499"/>
      <c r="W176" s="499">
        <v>42227</v>
      </c>
      <c r="X176" s="500">
        <v>34000</v>
      </c>
    </row>
    <row r="177" spans="1:24">
      <c r="A177" s="492" t="s">
        <v>423</v>
      </c>
      <c r="B177" s="492" t="s">
        <v>824</v>
      </c>
      <c r="C177" s="492" t="s">
        <v>202</v>
      </c>
      <c r="D177" s="492" t="s">
        <v>840</v>
      </c>
      <c r="E177" s="492" t="s">
        <v>841</v>
      </c>
      <c r="F177" s="493">
        <v>2</v>
      </c>
      <c r="G177" s="494" t="s">
        <v>192</v>
      </c>
      <c r="H177" s="492"/>
      <c r="I177" s="492"/>
      <c r="J177" s="492"/>
      <c r="K177" s="492"/>
      <c r="L177" s="492"/>
      <c r="M177" s="492" t="s">
        <v>839</v>
      </c>
      <c r="N177" s="492" t="s">
        <v>828</v>
      </c>
      <c r="O177" s="492" t="s">
        <v>429</v>
      </c>
      <c r="P177" s="492" t="s">
        <v>521</v>
      </c>
      <c r="Q177" s="492" t="s">
        <v>431</v>
      </c>
      <c r="R177" s="492" t="s">
        <v>432</v>
      </c>
      <c r="S177" s="499">
        <v>42205</v>
      </c>
      <c r="T177" s="492" t="s">
        <v>433</v>
      </c>
      <c r="U177" s="492" t="s">
        <v>432</v>
      </c>
      <c r="V177" s="499"/>
      <c r="W177" s="499">
        <v>42227</v>
      </c>
      <c r="X177" s="500">
        <v>78000</v>
      </c>
    </row>
    <row r="178" spans="1:24">
      <c r="A178" s="492" t="s">
        <v>423</v>
      </c>
      <c r="B178" s="492" t="s">
        <v>824</v>
      </c>
      <c r="C178" s="492" t="s">
        <v>204</v>
      </c>
      <c r="D178" s="492" t="s">
        <v>842</v>
      </c>
      <c r="E178" s="492" t="s">
        <v>843</v>
      </c>
      <c r="F178" s="493">
        <v>2</v>
      </c>
      <c r="G178" s="494" t="s">
        <v>192</v>
      </c>
      <c r="H178" s="492"/>
      <c r="I178" s="492"/>
      <c r="J178" s="492"/>
      <c r="K178" s="492"/>
      <c r="L178" s="492"/>
      <c r="M178" s="492" t="s">
        <v>839</v>
      </c>
      <c r="N178" s="492" t="s">
        <v>828</v>
      </c>
      <c r="O178" s="492" t="s">
        <v>429</v>
      </c>
      <c r="P178" s="492" t="s">
        <v>521</v>
      </c>
      <c r="Q178" s="492" t="s">
        <v>431</v>
      </c>
      <c r="R178" s="492" t="s">
        <v>432</v>
      </c>
      <c r="S178" s="499">
        <v>42205</v>
      </c>
      <c r="T178" s="492" t="s">
        <v>433</v>
      </c>
      <c r="U178" s="492" t="s">
        <v>432</v>
      </c>
      <c r="V178" s="499"/>
      <c r="W178" s="499">
        <v>42227</v>
      </c>
      <c r="X178" s="500">
        <v>16000</v>
      </c>
    </row>
    <row r="179" spans="1:24">
      <c r="A179" s="492" t="s">
        <v>423</v>
      </c>
      <c r="B179" s="492" t="s">
        <v>824</v>
      </c>
      <c r="C179" s="492" t="s">
        <v>206</v>
      </c>
      <c r="D179" s="492" t="s">
        <v>844</v>
      </c>
      <c r="E179" s="492" t="s">
        <v>845</v>
      </c>
      <c r="F179" s="493">
        <v>2</v>
      </c>
      <c r="G179" s="494" t="s">
        <v>192</v>
      </c>
      <c r="H179" s="492"/>
      <c r="I179" s="492"/>
      <c r="J179" s="492"/>
      <c r="K179" s="492"/>
      <c r="L179" s="492"/>
      <c r="M179" s="492" t="s">
        <v>839</v>
      </c>
      <c r="N179" s="492" t="s">
        <v>828</v>
      </c>
      <c r="O179" s="492" t="s">
        <v>429</v>
      </c>
      <c r="P179" s="492" t="s">
        <v>521</v>
      </c>
      <c r="Q179" s="492" t="s">
        <v>431</v>
      </c>
      <c r="R179" s="492" t="s">
        <v>432</v>
      </c>
      <c r="S179" s="499">
        <v>42205</v>
      </c>
      <c r="T179" s="492" t="s">
        <v>433</v>
      </c>
      <c r="U179" s="492" t="s">
        <v>432</v>
      </c>
      <c r="V179" s="499"/>
      <c r="W179" s="499">
        <v>42227</v>
      </c>
      <c r="X179" s="500">
        <v>16000</v>
      </c>
    </row>
    <row r="180" spans="1:24">
      <c r="A180" s="492" t="s">
        <v>423</v>
      </c>
      <c r="B180" s="492" t="s">
        <v>824</v>
      </c>
      <c r="C180" s="492" t="s">
        <v>209</v>
      </c>
      <c r="D180" s="492" t="s">
        <v>837</v>
      </c>
      <c r="E180" s="492" t="s">
        <v>838</v>
      </c>
      <c r="F180" s="493">
        <v>2</v>
      </c>
      <c r="G180" s="494" t="s">
        <v>192</v>
      </c>
      <c r="H180" s="492"/>
      <c r="I180" s="492"/>
      <c r="J180" s="492"/>
      <c r="K180" s="492"/>
      <c r="L180" s="492"/>
      <c r="M180" s="492" t="s">
        <v>519</v>
      </c>
      <c r="N180" s="492" t="s">
        <v>828</v>
      </c>
      <c r="O180" s="492" t="s">
        <v>429</v>
      </c>
      <c r="P180" s="492" t="s">
        <v>521</v>
      </c>
      <c r="Q180" s="492" t="s">
        <v>431</v>
      </c>
      <c r="R180" s="492" t="s">
        <v>432</v>
      </c>
      <c r="S180" s="499">
        <v>42205</v>
      </c>
      <c r="T180" s="492" t="s">
        <v>433</v>
      </c>
      <c r="U180" s="492" t="s">
        <v>432</v>
      </c>
      <c r="V180" s="499"/>
      <c r="W180" s="499">
        <v>42227</v>
      </c>
      <c r="X180" s="500">
        <v>58000</v>
      </c>
    </row>
    <row r="181" spans="1:24">
      <c r="A181" s="492" t="s">
        <v>423</v>
      </c>
      <c r="B181" s="492" t="s">
        <v>824</v>
      </c>
      <c r="C181" s="492" t="s">
        <v>212</v>
      </c>
      <c r="D181" s="492" t="s">
        <v>840</v>
      </c>
      <c r="E181" s="492" t="s">
        <v>841</v>
      </c>
      <c r="F181" s="493">
        <v>2</v>
      </c>
      <c r="G181" s="494" t="s">
        <v>192</v>
      </c>
      <c r="H181" s="492"/>
      <c r="I181" s="492"/>
      <c r="J181" s="492"/>
      <c r="K181" s="492"/>
      <c r="L181" s="492"/>
      <c r="M181" s="492" t="s">
        <v>519</v>
      </c>
      <c r="N181" s="492" t="s">
        <v>828</v>
      </c>
      <c r="O181" s="492" t="s">
        <v>429</v>
      </c>
      <c r="P181" s="492" t="s">
        <v>521</v>
      </c>
      <c r="Q181" s="492" t="s">
        <v>431</v>
      </c>
      <c r="R181" s="492" t="s">
        <v>432</v>
      </c>
      <c r="S181" s="499">
        <v>42205</v>
      </c>
      <c r="T181" s="492" t="s">
        <v>433</v>
      </c>
      <c r="U181" s="492" t="s">
        <v>432</v>
      </c>
      <c r="V181" s="499"/>
      <c r="W181" s="499">
        <v>42227</v>
      </c>
      <c r="X181" s="500">
        <v>66000</v>
      </c>
    </row>
    <row r="182" spans="1:24">
      <c r="A182" s="492" t="s">
        <v>423</v>
      </c>
      <c r="B182" s="492" t="s">
        <v>824</v>
      </c>
      <c r="C182" s="492" t="s">
        <v>214</v>
      </c>
      <c r="D182" s="492" t="s">
        <v>842</v>
      </c>
      <c r="E182" s="492" t="s">
        <v>843</v>
      </c>
      <c r="F182" s="493">
        <v>1</v>
      </c>
      <c r="G182" s="494" t="s">
        <v>192</v>
      </c>
      <c r="H182" s="492"/>
      <c r="I182" s="492"/>
      <c r="J182" s="492"/>
      <c r="K182" s="492"/>
      <c r="L182" s="492"/>
      <c r="M182" s="492" t="s">
        <v>519</v>
      </c>
      <c r="N182" s="492" t="s">
        <v>828</v>
      </c>
      <c r="O182" s="492" t="s">
        <v>429</v>
      </c>
      <c r="P182" s="492" t="s">
        <v>521</v>
      </c>
      <c r="Q182" s="492" t="s">
        <v>431</v>
      </c>
      <c r="R182" s="492" t="s">
        <v>432</v>
      </c>
      <c r="S182" s="499">
        <v>42205</v>
      </c>
      <c r="T182" s="492" t="s">
        <v>433</v>
      </c>
      <c r="U182" s="492" t="s">
        <v>432</v>
      </c>
      <c r="V182" s="499"/>
      <c r="W182" s="499">
        <v>42227</v>
      </c>
      <c r="X182" s="500">
        <v>13852.16</v>
      </c>
    </row>
    <row r="183" spans="1:24">
      <c r="A183" s="492" t="s">
        <v>423</v>
      </c>
      <c r="B183" s="492" t="s">
        <v>824</v>
      </c>
      <c r="C183" s="492" t="s">
        <v>216</v>
      </c>
      <c r="D183" s="492" t="s">
        <v>544</v>
      </c>
      <c r="E183" s="492" t="s">
        <v>545</v>
      </c>
      <c r="F183" s="493">
        <v>1</v>
      </c>
      <c r="G183" s="494" t="s">
        <v>192</v>
      </c>
      <c r="H183" s="492"/>
      <c r="I183" s="492"/>
      <c r="J183" s="492"/>
      <c r="K183" s="492"/>
      <c r="L183" s="492"/>
      <c r="M183" s="492" t="s">
        <v>536</v>
      </c>
      <c r="N183" s="492" t="s">
        <v>828</v>
      </c>
      <c r="O183" s="492" t="s">
        <v>429</v>
      </c>
      <c r="P183" s="492" t="s">
        <v>521</v>
      </c>
      <c r="Q183" s="492" t="s">
        <v>431</v>
      </c>
      <c r="R183" s="492" t="s">
        <v>432</v>
      </c>
      <c r="S183" s="499">
        <v>42205</v>
      </c>
      <c r="T183" s="492" t="s">
        <v>433</v>
      </c>
      <c r="U183" s="492" t="s">
        <v>432</v>
      </c>
      <c r="V183" s="499"/>
      <c r="W183" s="499">
        <v>42227</v>
      </c>
      <c r="X183" s="500">
        <v>18695</v>
      </c>
    </row>
    <row r="184" spans="1:24">
      <c r="A184" s="492" t="s">
        <v>423</v>
      </c>
      <c r="B184" s="492" t="s">
        <v>824</v>
      </c>
      <c r="C184" s="492" t="s">
        <v>218</v>
      </c>
      <c r="D184" s="492" t="s">
        <v>846</v>
      </c>
      <c r="E184" s="492" t="s">
        <v>847</v>
      </c>
      <c r="F184" s="493">
        <v>1</v>
      </c>
      <c r="G184" s="494" t="s">
        <v>192</v>
      </c>
      <c r="H184" s="492"/>
      <c r="I184" s="492"/>
      <c r="J184" s="492"/>
      <c r="K184" s="492"/>
      <c r="L184" s="492"/>
      <c r="M184" s="492" t="s">
        <v>606</v>
      </c>
      <c r="N184" s="492" t="s">
        <v>828</v>
      </c>
      <c r="O184" s="492" t="s">
        <v>429</v>
      </c>
      <c r="P184" s="492" t="s">
        <v>521</v>
      </c>
      <c r="Q184" s="492" t="s">
        <v>431</v>
      </c>
      <c r="R184" s="492" t="s">
        <v>432</v>
      </c>
      <c r="S184" s="499">
        <v>42205</v>
      </c>
      <c r="T184" s="492" t="s">
        <v>433</v>
      </c>
      <c r="U184" s="492" t="s">
        <v>432</v>
      </c>
      <c r="V184" s="499"/>
      <c r="W184" s="499">
        <v>42227</v>
      </c>
      <c r="X184" s="500">
        <v>35000</v>
      </c>
    </row>
    <row r="185" spans="1:24">
      <c r="A185" s="492" t="s">
        <v>423</v>
      </c>
      <c r="B185" s="492" t="s">
        <v>824</v>
      </c>
      <c r="C185" s="492" t="s">
        <v>220</v>
      </c>
      <c r="D185" s="492" t="s">
        <v>848</v>
      </c>
      <c r="E185" s="492" t="s">
        <v>849</v>
      </c>
      <c r="F185" s="493">
        <v>1</v>
      </c>
      <c r="G185" s="494" t="s">
        <v>192</v>
      </c>
      <c r="H185" s="492"/>
      <c r="I185" s="492"/>
      <c r="J185" s="492"/>
      <c r="K185" s="492"/>
      <c r="L185" s="492"/>
      <c r="M185" s="492" t="s">
        <v>606</v>
      </c>
      <c r="N185" s="492" t="s">
        <v>828</v>
      </c>
      <c r="O185" s="492" t="s">
        <v>429</v>
      </c>
      <c r="P185" s="492" t="s">
        <v>521</v>
      </c>
      <c r="Q185" s="492" t="s">
        <v>431</v>
      </c>
      <c r="R185" s="492" t="s">
        <v>432</v>
      </c>
      <c r="S185" s="499">
        <v>42205</v>
      </c>
      <c r="T185" s="492" t="s">
        <v>433</v>
      </c>
      <c r="U185" s="492" t="s">
        <v>432</v>
      </c>
      <c r="V185" s="499"/>
      <c r="W185" s="499">
        <v>42227</v>
      </c>
      <c r="X185" s="500">
        <v>8000</v>
      </c>
    </row>
    <row r="186" spans="1:24">
      <c r="A186" s="492" t="s">
        <v>423</v>
      </c>
      <c r="B186" s="492" t="s">
        <v>824</v>
      </c>
      <c r="C186" s="492" t="s">
        <v>222</v>
      </c>
      <c r="D186" s="492" t="s">
        <v>850</v>
      </c>
      <c r="E186" s="492" t="s">
        <v>851</v>
      </c>
      <c r="F186" s="493">
        <v>1</v>
      </c>
      <c r="G186" s="494" t="s">
        <v>192</v>
      </c>
      <c r="H186" s="492"/>
      <c r="I186" s="492"/>
      <c r="J186" s="492"/>
      <c r="K186" s="492"/>
      <c r="L186" s="492"/>
      <c r="M186" s="492" t="s">
        <v>634</v>
      </c>
      <c r="N186" s="492" t="s">
        <v>828</v>
      </c>
      <c r="O186" s="492" t="s">
        <v>429</v>
      </c>
      <c r="P186" s="492" t="s">
        <v>521</v>
      </c>
      <c r="Q186" s="492" t="s">
        <v>431</v>
      </c>
      <c r="R186" s="492" t="s">
        <v>432</v>
      </c>
      <c r="S186" s="499">
        <v>42205</v>
      </c>
      <c r="T186" s="492" t="s">
        <v>433</v>
      </c>
      <c r="U186" s="492" t="s">
        <v>432</v>
      </c>
      <c r="V186" s="499"/>
      <c r="W186" s="499">
        <v>42227</v>
      </c>
      <c r="X186" s="500">
        <v>35000</v>
      </c>
    </row>
    <row r="187" spans="1:24">
      <c r="A187" s="492" t="s">
        <v>423</v>
      </c>
      <c r="B187" s="492" t="s">
        <v>824</v>
      </c>
      <c r="C187" s="492" t="s">
        <v>224</v>
      </c>
      <c r="D187" s="492" t="s">
        <v>852</v>
      </c>
      <c r="E187" s="492" t="s">
        <v>853</v>
      </c>
      <c r="F187" s="493">
        <v>1</v>
      </c>
      <c r="G187" s="494" t="s">
        <v>192</v>
      </c>
      <c r="H187" s="492"/>
      <c r="I187" s="492"/>
      <c r="J187" s="492"/>
      <c r="K187" s="492"/>
      <c r="L187" s="492"/>
      <c r="M187" s="492" t="s">
        <v>658</v>
      </c>
      <c r="N187" s="492" t="s">
        <v>828</v>
      </c>
      <c r="O187" s="492" t="s">
        <v>429</v>
      </c>
      <c r="P187" s="492" t="s">
        <v>521</v>
      </c>
      <c r="Q187" s="492" t="s">
        <v>431</v>
      </c>
      <c r="R187" s="492" t="s">
        <v>432</v>
      </c>
      <c r="S187" s="499">
        <v>42205</v>
      </c>
      <c r="T187" s="492" t="s">
        <v>433</v>
      </c>
      <c r="U187" s="492" t="s">
        <v>432</v>
      </c>
      <c r="V187" s="499"/>
      <c r="W187" s="499">
        <v>42227</v>
      </c>
      <c r="X187" s="500">
        <v>45000</v>
      </c>
    </row>
    <row r="188" spans="1:24">
      <c r="A188" s="492" t="s">
        <v>423</v>
      </c>
      <c r="B188" s="492" t="s">
        <v>854</v>
      </c>
      <c r="C188" s="492" t="s">
        <v>136</v>
      </c>
      <c r="D188" s="492" t="s">
        <v>855</v>
      </c>
      <c r="E188" s="492" t="s">
        <v>856</v>
      </c>
      <c r="F188" s="493">
        <v>10</v>
      </c>
      <c r="G188" s="494" t="s">
        <v>192</v>
      </c>
      <c r="H188" s="492"/>
      <c r="I188" s="492"/>
      <c r="J188" s="492"/>
      <c r="K188" s="492"/>
      <c r="L188" s="492"/>
      <c r="M188" s="492"/>
      <c r="N188" s="492" t="s">
        <v>708</v>
      </c>
      <c r="O188" s="492" t="s">
        <v>429</v>
      </c>
      <c r="P188" s="492" t="s">
        <v>521</v>
      </c>
      <c r="Q188" s="492" t="s">
        <v>431</v>
      </c>
      <c r="R188" s="492" t="s">
        <v>432</v>
      </c>
      <c r="S188" s="499">
        <v>42205</v>
      </c>
      <c r="T188" s="492" t="s">
        <v>433</v>
      </c>
      <c r="U188" s="492" t="s">
        <v>432</v>
      </c>
      <c r="V188" s="499"/>
      <c r="W188" s="499">
        <v>42218</v>
      </c>
      <c r="X188" s="500">
        <v>6000</v>
      </c>
    </row>
    <row r="189" spans="1:24">
      <c r="A189" s="492" t="s">
        <v>423</v>
      </c>
      <c r="B189" s="492" t="s">
        <v>854</v>
      </c>
      <c r="C189" s="492" t="s">
        <v>147</v>
      </c>
      <c r="D189" s="492" t="s">
        <v>857</v>
      </c>
      <c r="E189" s="492" t="s">
        <v>858</v>
      </c>
      <c r="F189" s="493">
        <v>10</v>
      </c>
      <c r="G189" s="494" t="s">
        <v>192</v>
      </c>
      <c r="H189" s="492"/>
      <c r="I189" s="492"/>
      <c r="J189" s="492"/>
      <c r="K189" s="492"/>
      <c r="L189" s="492"/>
      <c r="M189" s="492"/>
      <c r="N189" s="492" t="s">
        <v>708</v>
      </c>
      <c r="O189" s="492" t="s">
        <v>429</v>
      </c>
      <c r="P189" s="492" t="s">
        <v>521</v>
      </c>
      <c r="Q189" s="492" t="s">
        <v>431</v>
      </c>
      <c r="R189" s="492" t="s">
        <v>432</v>
      </c>
      <c r="S189" s="499">
        <v>42205</v>
      </c>
      <c r="T189" s="492" t="s">
        <v>433</v>
      </c>
      <c r="U189" s="492" t="s">
        <v>432</v>
      </c>
      <c r="V189" s="499"/>
      <c r="W189" s="499">
        <v>42218</v>
      </c>
      <c r="X189" s="500">
        <v>7000</v>
      </c>
    </row>
    <row r="190" spans="1:24">
      <c r="A190" s="492" t="s">
        <v>423</v>
      </c>
      <c r="B190" s="492" t="s">
        <v>854</v>
      </c>
      <c r="C190" s="492" t="s">
        <v>150</v>
      </c>
      <c r="D190" s="492" t="s">
        <v>859</v>
      </c>
      <c r="E190" s="492" t="s">
        <v>860</v>
      </c>
      <c r="F190" s="493">
        <v>10</v>
      </c>
      <c r="G190" s="494" t="s">
        <v>192</v>
      </c>
      <c r="H190" s="492"/>
      <c r="I190" s="492"/>
      <c r="J190" s="492"/>
      <c r="K190" s="492"/>
      <c r="L190" s="492"/>
      <c r="M190" s="492"/>
      <c r="N190" s="492" t="s">
        <v>708</v>
      </c>
      <c r="O190" s="492" t="s">
        <v>429</v>
      </c>
      <c r="P190" s="492" t="s">
        <v>521</v>
      </c>
      <c r="Q190" s="492" t="s">
        <v>431</v>
      </c>
      <c r="R190" s="492" t="s">
        <v>432</v>
      </c>
      <c r="S190" s="499">
        <v>42205</v>
      </c>
      <c r="T190" s="492" t="s">
        <v>433</v>
      </c>
      <c r="U190" s="492" t="s">
        <v>432</v>
      </c>
      <c r="V190" s="499"/>
      <c r="W190" s="499">
        <v>42218</v>
      </c>
      <c r="X190" s="500">
        <v>9000</v>
      </c>
    </row>
    <row r="191" spans="1:24">
      <c r="A191" s="492" t="s">
        <v>423</v>
      </c>
      <c r="B191" s="492" t="s">
        <v>854</v>
      </c>
      <c r="C191" s="492" t="s">
        <v>152</v>
      </c>
      <c r="D191" s="492" t="s">
        <v>861</v>
      </c>
      <c r="E191" s="492" t="s">
        <v>862</v>
      </c>
      <c r="F191" s="493">
        <v>200</v>
      </c>
      <c r="G191" s="494" t="s">
        <v>192</v>
      </c>
      <c r="H191" s="492"/>
      <c r="I191" s="492"/>
      <c r="J191" s="492"/>
      <c r="K191" s="492"/>
      <c r="L191" s="492"/>
      <c r="M191" s="492"/>
      <c r="N191" s="492" t="s">
        <v>708</v>
      </c>
      <c r="O191" s="492" t="s">
        <v>429</v>
      </c>
      <c r="P191" s="492" t="s">
        <v>521</v>
      </c>
      <c r="Q191" s="492" t="s">
        <v>431</v>
      </c>
      <c r="R191" s="492" t="s">
        <v>432</v>
      </c>
      <c r="S191" s="499">
        <v>42205</v>
      </c>
      <c r="T191" s="492" t="s">
        <v>433</v>
      </c>
      <c r="U191" s="492" t="s">
        <v>432</v>
      </c>
      <c r="V191" s="499"/>
      <c r="W191" s="499">
        <v>42218</v>
      </c>
      <c r="X191" s="500">
        <v>6000</v>
      </c>
    </row>
    <row r="192" spans="1:24">
      <c r="A192" s="492" t="s">
        <v>423</v>
      </c>
      <c r="B192" s="492" t="s">
        <v>863</v>
      </c>
      <c r="C192" s="492" t="s">
        <v>136</v>
      </c>
      <c r="D192" s="492" t="s">
        <v>864</v>
      </c>
      <c r="E192" s="492" t="s">
        <v>865</v>
      </c>
      <c r="F192" s="493">
        <v>60</v>
      </c>
      <c r="G192" s="494" t="s">
        <v>345</v>
      </c>
      <c r="H192" s="492"/>
      <c r="I192" s="492"/>
      <c r="J192" s="492"/>
      <c r="K192" s="492"/>
      <c r="L192" s="492"/>
      <c r="M192" s="492"/>
      <c r="N192" s="492" t="s">
        <v>866</v>
      </c>
      <c r="O192" s="492" t="s">
        <v>429</v>
      </c>
      <c r="P192" s="492" t="s">
        <v>521</v>
      </c>
      <c r="Q192" s="492" t="s">
        <v>431</v>
      </c>
      <c r="R192" s="492" t="s">
        <v>432</v>
      </c>
      <c r="S192" s="499">
        <v>42170</v>
      </c>
      <c r="T192" s="492" t="s">
        <v>433</v>
      </c>
      <c r="U192" s="492" t="s">
        <v>432</v>
      </c>
      <c r="V192" s="499"/>
      <c r="W192" s="499">
        <v>42183</v>
      </c>
      <c r="X192" s="500">
        <v>16394.400000000001</v>
      </c>
    </row>
    <row r="193" spans="1:24">
      <c r="A193" s="492" t="s">
        <v>423</v>
      </c>
      <c r="B193" s="492" t="s">
        <v>863</v>
      </c>
      <c r="C193" s="492" t="s">
        <v>147</v>
      </c>
      <c r="D193" s="492" t="s">
        <v>867</v>
      </c>
      <c r="E193" s="492" t="s">
        <v>868</v>
      </c>
      <c r="F193" s="493">
        <v>60</v>
      </c>
      <c r="G193" s="494" t="s">
        <v>345</v>
      </c>
      <c r="H193" s="492"/>
      <c r="I193" s="492"/>
      <c r="J193" s="492"/>
      <c r="K193" s="492"/>
      <c r="L193" s="492"/>
      <c r="M193" s="492"/>
      <c r="N193" s="492" t="s">
        <v>866</v>
      </c>
      <c r="O193" s="492" t="s">
        <v>429</v>
      </c>
      <c r="P193" s="492" t="s">
        <v>521</v>
      </c>
      <c r="Q193" s="492" t="s">
        <v>431</v>
      </c>
      <c r="R193" s="492" t="s">
        <v>432</v>
      </c>
      <c r="S193" s="499">
        <v>42170</v>
      </c>
      <c r="T193" s="492" t="s">
        <v>433</v>
      </c>
      <c r="U193" s="492" t="s">
        <v>432</v>
      </c>
      <c r="V193" s="499"/>
      <c r="W193" s="499">
        <v>42183</v>
      </c>
      <c r="X193" s="500">
        <v>22236</v>
      </c>
    </row>
    <row r="194" spans="1:24">
      <c r="A194" s="492" t="s">
        <v>423</v>
      </c>
      <c r="B194" s="492" t="s">
        <v>863</v>
      </c>
      <c r="C194" s="492" t="s">
        <v>150</v>
      </c>
      <c r="D194" s="492" t="s">
        <v>869</v>
      </c>
      <c r="E194" s="492" t="s">
        <v>870</v>
      </c>
      <c r="F194" s="493">
        <v>60</v>
      </c>
      <c r="G194" s="494" t="s">
        <v>345</v>
      </c>
      <c r="H194" s="492"/>
      <c r="I194" s="492"/>
      <c r="J194" s="492"/>
      <c r="K194" s="492"/>
      <c r="L194" s="492"/>
      <c r="M194" s="492"/>
      <c r="N194" s="492" t="s">
        <v>866</v>
      </c>
      <c r="O194" s="492" t="s">
        <v>429</v>
      </c>
      <c r="P194" s="492" t="s">
        <v>521</v>
      </c>
      <c r="Q194" s="492" t="s">
        <v>431</v>
      </c>
      <c r="R194" s="492" t="s">
        <v>432</v>
      </c>
      <c r="S194" s="499">
        <v>42170</v>
      </c>
      <c r="T194" s="492" t="s">
        <v>433</v>
      </c>
      <c r="U194" s="492" t="s">
        <v>432</v>
      </c>
      <c r="V194" s="499"/>
      <c r="W194" s="499">
        <v>42183</v>
      </c>
      <c r="X194" s="500">
        <v>15357.6</v>
      </c>
    </row>
    <row r="195" spans="1:24">
      <c r="A195" s="492" t="s">
        <v>423</v>
      </c>
      <c r="B195" s="492" t="s">
        <v>871</v>
      </c>
      <c r="C195" s="492" t="s">
        <v>571</v>
      </c>
      <c r="D195" s="492" t="s">
        <v>872</v>
      </c>
      <c r="E195" s="492" t="s">
        <v>873</v>
      </c>
      <c r="F195" s="493">
        <v>10</v>
      </c>
      <c r="G195" s="494" t="s">
        <v>192</v>
      </c>
      <c r="H195" s="492"/>
      <c r="I195" s="492"/>
      <c r="J195" s="492"/>
      <c r="K195" s="492"/>
      <c r="L195" s="492"/>
      <c r="M195" s="492"/>
      <c r="N195" s="492" t="s">
        <v>874</v>
      </c>
      <c r="O195" s="492" t="s">
        <v>429</v>
      </c>
      <c r="P195" s="492" t="s">
        <v>521</v>
      </c>
      <c r="Q195" s="492" t="s">
        <v>431</v>
      </c>
      <c r="R195" s="492" t="s">
        <v>432</v>
      </c>
      <c r="S195" s="499">
        <v>42065</v>
      </c>
      <c r="T195" s="492" t="s">
        <v>433</v>
      </c>
      <c r="U195" s="492" t="s">
        <v>432</v>
      </c>
      <c r="V195" s="499"/>
      <c r="W195" s="499">
        <v>42077</v>
      </c>
      <c r="X195" s="500">
        <v>5533</v>
      </c>
    </row>
    <row r="196" spans="1:24">
      <c r="A196" s="492"/>
      <c r="B196" s="492"/>
      <c r="C196" s="492"/>
      <c r="D196" s="492"/>
      <c r="E196" s="492"/>
      <c r="F196" s="493"/>
      <c r="G196" s="494"/>
      <c r="H196" s="492"/>
      <c r="I196" s="492"/>
      <c r="J196" s="492"/>
      <c r="K196" s="492"/>
      <c r="L196" s="492"/>
      <c r="M196" s="492"/>
      <c r="N196" s="492"/>
      <c r="O196" s="492"/>
      <c r="P196" s="492"/>
      <c r="Q196" s="492"/>
      <c r="R196" s="492"/>
      <c r="S196" s="499"/>
      <c r="T196" s="492"/>
      <c r="U196" s="492"/>
      <c r="V196" s="499"/>
      <c r="W196" s="499"/>
      <c r="X196" s="500"/>
    </row>
    <row r="197" spans="1:24" s="487" customFormat="1">
      <c r="A197" s="487" t="s">
        <v>402</v>
      </c>
      <c r="B197" s="487" t="s">
        <v>403</v>
      </c>
      <c r="C197" s="487" t="s">
        <v>4</v>
      </c>
      <c r="D197" s="487" t="s">
        <v>404</v>
      </c>
      <c r="E197" s="487" t="s">
        <v>405</v>
      </c>
      <c r="F197" s="488" t="s">
        <v>406</v>
      </c>
      <c r="G197" s="489" t="s">
        <v>407</v>
      </c>
      <c r="M197" s="487" t="s">
        <v>686</v>
      </c>
      <c r="N197" s="487" t="s">
        <v>413</v>
      </c>
      <c r="O197" s="487" t="s">
        <v>414</v>
      </c>
      <c r="P197" s="487" t="s">
        <v>415</v>
      </c>
      <c r="Q197" s="487" t="s">
        <v>416</v>
      </c>
      <c r="R197" s="487" t="s">
        <v>90</v>
      </c>
      <c r="S197" s="488" t="s">
        <v>417</v>
      </c>
      <c r="T197" s="487" t="s">
        <v>418</v>
      </c>
      <c r="U197" s="487" t="s">
        <v>419</v>
      </c>
      <c r="V197" s="488" t="s">
        <v>420</v>
      </c>
      <c r="W197" s="488" t="s">
        <v>421</v>
      </c>
      <c r="X197" s="488" t="s">
        <v>422</v>
      </c>
    </row>
    <row r="198" spans="1:24" ht="360">
      <c r="A198" s="492" t="s">
        <v>423</v>
      </c>
      <c r="B198" s="492" t="s">
        <v>875</v>
      </c>
      <c r="C198" s="492" t="s">
        <v>152</v>
      </c>
      <c r="D198" s="492" t="s">
        <v>876</v>
      </c>
      <c r="E198" s="492" t="s">
        <v>877</v>
      </c>
      <c r="F198" s="493">
        <v>4</v>
      </c>
      <c r="G198" s="494" t="s">
        <v>192</v>
      </c>
      <c r="H198" s="498"/>
      <c r="I198" s="498"/>
      <c r="J198" s="498"/>
      <c r="K198" s="498"/>
      <c r="L198" s="498"/>
      <c r="M198" s="498" t="s">
        <v>878</v>
      </c>
      <c r="N198" s="492" t="s">
        <v>879</v>
      </c>
      <c r="O198" s="492" t="s">
        <v>429</v>
      </c>
      <c r="P198" s="492" t="s">
        <v>521</v>
      </c>
      <c r="Q198" s="492" t="s">
        <v>431</v>
      </c>
      <c r="R198" s="492" t="s">
        <v>432</v>
      </c>
      <c r="S198" s="499">
        <v>42177</v>
      </c>
      <c r="T198" s="492" t="s">
        <v>433</v>
      </c>
      <c r="U198" s="492" t="s">
        <v>432</v>
      </c>
      <c r="V198" s="499"/>
      <c r="W198" s="499">
        <v>42185</v>
      </c>
      <c r="X198" s="500">
        <v>40000</v>
      </c>
    </row>
    <row r="199" spans="1:24" ht="75">
      <c r="A199" s="492" t="s">
        <v>423</v>
      </c>
      <c r="B199" s="492" t="s">
        <v>875</v>
      </c>
      <c r="C199" s="492" t="s">
        <v>140</v>
      </c>
      <c r="D199" s="492" t="s">
        <v>880</v>
      </c>
      <c r="E199" s="492" t="s">
        <v>881</v>
      </c>
      <c r="F199" s="493">
        <v>6</v>
      </c>
      <c r="G199" s="494" t="s">
        <v>192</v>
      </c>
      <c r="H199" s="498"/>
      <c r="I199" s="498"/>
      <c r="J199" s="498"/>
      <c r="K199" s="498"/>
      <c r="L199" s="498"/>
      <c r="M199" s="498" t="s">
        <v>882</v>
      </c>
      <c r="N199" s="492" t="s">
        <v>879</v>
      </c>
      <c r="O199" s="492" t="s">
        <v>429</v>
      </c>
      <c r="P199" s="492" t="s">
        <v>521</v>
      </c>
      <c r="Q199" s="492" t="s">
        <v>431</v>
      </c>
      <c r="R199" s="492" t="s">
        <v>432</v>
      </c>
      <c r="S199" s="499">
        <v>42177</v>
      </c>
      <c r="T199" s="492" t="s">
        <v>433</v>
      </c>
      <c r="U199" s="492" t="s">
        <v>432</v>
      </c>
      <c r="V199" s="499"/>
      <c r="W199" s="499">
        <v>42185</v>
      </c>
      <c r="X199" s="500">
        <v>6042.42</v>
      </c>
    </row>
    <row r="200" spans="1:24" ht="75">
      <c r="A200" s="492" t="s">
        <v>423</v>
      </c>
      <c r="B200" s="492" t="s">
        <v>875</v>
      </c>
      <c r="C200" s="492" t="s">
        <v>202</v>
      </c>
      <c r="D200" s="492" t="s">
        <v>883</v>
      </c>
      <c r="E200" s="492" t="s">
        <v>884</v>
      </c>
      <c r="F200" s="493">
        <v>6</v>
      </c>
      <c r="G200" s="494" t="s">
        <v>192</v>
      </c>
      <c r="H200" s="498"/>
      <c r="I200" s="498"/>
      <c r="J200" s="498"/>
      <c r="K200" s="498"/>
      <c r="L200" s="498"/>
      <c r="M200" s="498" t="s">
        <v>882</v>
      </c>
      <c r="N200" s="492" t="s">
        <v>879</v>
      </c>
      <c r="O200" s="492" t="s">
        <v>429</v>
      </c>
      <c r="P200" s="492" t="s">
        <v>521</v>
      </c>
      <c r="Q200" s="492" t="s">
        <v>431</v>
      </c>
      <c r="R200" s="492" t="s">
        <v>432</v>
      </c>
      <c r="S200" s="499">
        <v>42177</v>
      </c>
      <c r="T200" s="492" t="s">
        <v>433</v>
      </c>
      <c r="U200" s="492" t="s">
        <v>432</v>
      </c>
      <c r="V200" s="499"/>
      <c r="W200" s="499">
        <v>42185</v>
      </c>
      <c r="X200" s="500">
        <v>10129.56</v>
      </c>
    </row>
    <row r="201" spans="1:24">
      <c r="A201" s="492"/>
      <c r="B201" s="492"/>
      <c r="C201" s="492"/>
      <c r="D201" s="492"/>
      <c r="E201" s="492"/>
      <c r="F201" s="493"/>
      <c r="G201" s="494"/>
      <c r="H201" s="492"/>
      <c r="I201" s="492"/>
      <c r="J201" s="492"/>
      <c r="K201" s="492"/>
      <c r="L201" s="492"/>
      <c r="M201" s="492"/>
      <c r="N201" s="492"/>
      <c r="O201" s="492"/>
      <c r="P201" s="492"/>
      <c r="Q201" s="492"/>
      <c r="R201" s="492"/>
      <c r="S201" s="499"/>
      <c r="T201" s="492"/>
      <c r="U201" s="492"/>
      <c r="V201" s="499"/>
      <c r="W201" s="499"/>
      <c r="X201" s="500"/>
    </row>
    <row r="202" spans="1:24" s="487" customFormat="1">
      <c r="A202" s="487" t="s">
        <v>402</v>
      </c>
      <c r="B202" s="487" t="s">
        <v>403</v>
      </c>
      <c r="C202" s="487" t="s">
        <v>4</v>
      </c>
      <c r="D202" s="487" t="s">
        <v>404</v>
      </c>
      <c r="E202" s="487" t="s">
        <v>405</v>
      </c>
      <c r="F202" s="488" t="s">
        <v>406</v>
      </c>
      <c r="G202" s="489" t="s">
        <v>407</v>
      </c>
      <c r="M202" s="487" t="s">
        <v>686</v>
      </c>
      <c r="N202" s="487" t="s">
        <v>413</v>
      </c>
      <c r="O202" s="487" t="s">
        <v>414</v>
      </c>
      <c r="P202" s="487" t="s">
        <v>415</v>
      </c>
      <c r="Q202" s="487" t="s">
        <v>416</v>
      </c>
      <c r="R202" s="487" t="s">
        <v>90</v>
      </c>
      <c r="S202" s="488" t="s">
        <v>417</v>
      </c>
      <c r="T202" s="487" t="s">
        <v>418</v>
      </c>
      <c r="U202" s="487" t="s">
        <v>419</v>
      </c>
      <c r="V202" s="488" t="s">
        <v>420</v>
      </c>
      <c r="W202" s="488" t="s">
        <v>421</v>
      </c>
      <c r="X202" s="488" t="s">
        <v>422</v>
      </c>
    </row>
    <row r="203" spans="1:24">
      <c r="A203" s="492" t="s">
        <v>423</v>
      </c>
      <c r="B203" s="492" t="s">
        <v>885</v>
      </c>
      <c r="C203" s="492" t="s">
        <v>136</v>
      </c>
      <c r="D203" s="492" t="s">
        <v>432</v>
      </c>
      <c r="E203" s="492" t="s">
        <v>886</v>
      </c>
      <c r="F203" s="493">
        <v>1</v>
      </c>
      <c r="G203" s="494" t="s">
        <v>887</v>
      </c>
      <c r="H203" s="492"/>
      <c r="I203" s="492"/>
      <c r="J203" s="492"/>
      <c r="K203" s="492"/>
      <c r="L203" s="492"/>
      <c r="M203" s="492"/>
      <c r="N203" s="492" t="s">
        <v>428</v>
      </c>
      <c r="O203" s="492" t="s">
        <v>429</v>
      </c>
      <c r="P203" s="492" t="s">
        <v>430</v>
      </c>
      <c r="Q203" s="492" t="s">
        <v>431</v>
      </c>
      <c r="R203" s="492" t="s">
        <v>432</v>
      </c>
      <c r="S203" s="499">
        <v>42222</v>
      </c>
      <c r="T203" s="492" t="s">
        <v>433</v>
      </c>
      <c r="U203" s="492" t="s">
        <v>432</v>
      </c>
      <c r="V203" s="499"/>
      <c r="W203" s="499">
        <v>42222</v>
      </c>
      <c r="X203" s="500">
        <v>62720</v>
      </c>
    </row>
    <row r="204" spans="1:24">
      <c r="A204" s="492" t="s">
        <v>423</v>
      </c>
      <c r="B204" s="492" t="s">
        <v>888</v>
      </c>
      <c r="C204" s="492" t="s">
        <v>136</v>
      </c>
      <c r="D204" s="492" t="s">
        <v>432</v>
      </c>
      <c r="E204" s="492" t="s">
        <v>889</v>
      </c>
      <c r="F204" s="493">
        <v>1</v>
      </c>
      <c r="G204" s="494" t="s">
        <v>887</v>
      </c>
      <c r="H204" s="492"/>
      <c r="I204" s="492"/>
      <c r="J204" s="492"/>
      <c r="K204" s="492"/>
      <c r="L204" s="492"/>
      <c r="M204" s="492"/>
      <c r="N204" s="492" t="s">
        <v>890</v>
      </c>
      <c r="O204" s="492" t="s">
        <v>429</v>
      </c>
      <c r="P204" s="492" t="s">
        <v>430</v>
      </c>
      <c r="Q204" s="492" t="s">
        <v>431</v>
      </c>
      <c r="R204" s="492" t="s">
        <v>432</v>
      </c>
      <c r="S204" s="499">
        <v>42221</v>
      </c>
      <c r="T204" s="492" t="s">
        <v>433</v>
      </c>
      <c r="U204" s="492" t="s">
        <v>432</v>
      </c>
      <c r="V204" s="499"/>
      <c r="W204" s="499">
        <v>42221</v>
      </c>
      <c r="X204" s="500">
        <v>609841</v>
      </c>
    </row>
    <row r="205" spans="1:24">
      <c r="A205" s="492" t="s">
        <v>423</v>
      </c>
      <c r="B205" s="492" t="s">
        <v>891</v>
      </c>
      <c r="C205" s="492" t="s">
        <v>136</v>
      </c>
      <c r="D205" s="492" t="s">
        <v>432</v>
      </c>
      <c r="E205" s="492" t="s">
        <v>892</v>
      </c>
      <c r="F205" s="493">
        <v>1</v>
      </c>
      <c r="G205" s="494" t="s">
        <v>887</v>
      </c>
      <c r="H205" s="492"/>
      <c r="I205" s="492"/>
      <c r="J205" s="492"/>
      <c r="K205" s="492"/>
      <c r="L205" s="492"/>
      <c r="M205" s="492"/>
      <c r="N205" s="492" t="s">
        <v>708</v>
      </c>
      <c r="O205" s="492" t="s">
        <v>429</v>
      </c>
      <c r="P205" s="492" t="s">
        <v>430</v>
      </c>
      <c r="Q205" s="492" t="s">
        <v>431</v>
      </c>
      <c r="R205" s="492" t="s">
        <v>432</v>
      </c>
      <c r="S205" s="499">
        <v>42219</v>
      </c>
      <c r="T205" s="492" t="s">
        <v>433</v>
      </c>
      <c r="U205" s="492" t="s">
        <v>432</v>
      </c>
      <c r="V205" s="499"/>
      <c r="W205" s="499">
        <v>42219</v>
      </c>
      <c r="X205" s="500">
        <v>99550</v>
      </c>
    </row>
    <row r="206" spans="1:24">
      <c r="A206" s="492" t="s">
        <v>423</v>
      </c>
      <c r="B206" s="492" t="s">
        <v>893</v>
      </c>
      <c r="C206" s="492" t="s">
        <v>136</v>
      </c>
      <c r="D206" s="492" t="s">
        <v>432</v>
      </c>
      <c r="E206" s="492" t="s">
        <v>894</v>
      </c>
      <c r="F206" s="493">
        <v>1</v>
      </c>
      <c r="G206" s="494" t="s">
        <v>887</v>
      </c>
      <c r="H206" s="492"/>
      <c r="I206" s="492"/>
      <c r="J206" s="492"/>
      <c r="K206" s="492"/>
      <c r="L206" s="492"/>
      <c r="M206" s="492"/>
      <c r="N206" s="492" t="s">
        <v>708</v>
      </c>
      <c r="O206" s="492" t="s">
        <v>429</v>
      </c>
      <c r="P206" s="492" t="s">
        <v>430</v>
      </c>
      <c r="Q206" s="492" t="s">
        <v>431</v>
      </c>
      <c r="R206" s="492" t="s">
        <v>432</v>
      </c>
      <c r="S206" s="499">
        <v>42219</v>
      </c>
      <c r="T206" s="492" t="s">
        <v>433</v>
      </c>
      <c r="U206" s="492" t="s">
        <v>432</v>
      </c>
      <c r="V206" s="499"/>
      <c r="W206" s="499">
        <v>42219</v>
      </c>
      <c r="X206" s="500">
        <v>632299</v>
      </c>
    </row>
    <row r="207" spans="1:24">
      <c r="A207" s="492" t="s">
        <v>423</v>
      </c>
      <c r="B207" s="492" t="s">
        <v>895</v>
      </c>
      <c r="C207" s="492" t="s">
        <v>136</v>
      </c>
      <c r="D207" s="492" t="s">
        <v>432</v>
      </c>
      <c r="E207" s="492" t="s">
        <v>896</v>
      </c>
      <c r="F207" s="493">
        <v>1</v>
      </c>
      <c r="G207" s="494" t="s">
        <v>887</v>
      </c>
      <c r="H207" s="492"/>
      <c r="I207" s="492"/>
      <c r="J207" s="492"/>
      <c r="K207" s="492"/>
      <c r="L207" s="492"/>
      <c r="M207" s="492"/>
      <c r="N207" s="492" t="s">
        <v>708</v>
      </c>
      <c r="O207" s="492" t="s">
        <v>429</v>
      </c>
      <c r="P207" s="492" t="s">
        <v>430</v>
      </c>
      <c r="Q207" s="492" t="s">
        <v>431</v>
      </c>
      <c r="R207" s="492" t="s">
        <v>432</v>
      </c>
      <c r="S207" s="499">
        <v>42219</v>
      </c>
      <c r="T207" s="492" t="s">
        <v>433</v>
      </c>
      <c r="U207" s="492" t="s">
        <v>432</v>
      </c>
      <c r="V207" s="499"/>
      <c r="W207" s="499">
        <v>42219</v>
      </c>
      <c r="X207" s="500">
        <v>19250</v>
      </c>
    </row>
    <row r="208" spans="1:24">
      <c r="A208" s="492" t="s">
        <v>423</v>
      </c>
      <c r="B208" s="492" t="s">
        <v>897</v>
      </c>
      <c r="C208" s="492" t="s">
        <v>136</v>
      </c>
      <c r="D208" s="492" t="s">
        <v>432</v>
      </c>
      <c r="E208" s="492" t="s">
        <v>898</v>
      </c>
      <c r="F208" s="493">
        <v>1</v>
      </c>
      <c r="G208" s="494" t="s">
        <v>887</v>
      </c>
      <c r="H208" s="492"/>
      <c r="I208" s="492"/>
      <c r="J208" s="492"/>
      <c r="K208" s="492"/>
      <c r="L208" s="492"/>
      <c r="M208" s="492"/>
      <c r="N208" s="492" t="s">
        <v>899</v>
      </c>
      <c r="O208" s="492" t="s">
        <v>429</v>
      </c>
      <c r="P208" s="492" t="s">
        <v>521</v>
      </c>
      <c r="Q208" s="492" t="s">
        <v>431</v>
      </c>
      <c r="R208" s="492" t="s">
        <v>432</v>
      </c>
      <c r="S208" s="499">
        <v>42164</v>
      </c>
      <c r="T208" s="492" t="s">
        <v>695</v>
      </c>
      <c r="U208" s="492" t="s">
        <v>432</v>
      </c>
      <c r="V208" s="499"/>
      <c r="W208" s="499">
        <v>42164</v>
      </c>
      <c r="X208" s="500">
        <v>640000</v>
      </c>
    </row>
    <row r="209" spans="1:24">
      <c r="A209" s="492"/>
      <c r="B209" s="492"/>
      <c r="C209" s="492"/>
      <c r="D209" s="492"/>
      <c r="E209" s="492"/>
      <c r="F209" s="493"/>
      <c r="G209" s="494"/>
      <c r="H209" s="492"/>
      <c r="I209" s="492"/>
      <c r="J209" s="492"/>
      <c r="K209" s="492"/>
      <c r="L209" s="492"/>
      <c r="M209" s="492"/>
      <c r="N209" s="492"/>
      <c r="O209" s="492"/>
      <c r="P209" s="492"/>
      <c r="Q209" s="492"/>
      <c r="R209" s="492"/>
      <c r="S209" s="499"/>
      <c r="T209" s="492"/>
      <c r="U209" s="492"/>
      <c r="V209" s="499"/>
      <c r="W209" s="499"/>
      <c r="X209" s="500"/>
    </row>
    <row r="210" spans="1:24" s="487" customFormat="1">
      <c r="A210" s="487" t="s">
        <v>402</v>
      </c>
      <c r="B210" s="487" t="s">
        <v>403</v>
      </c>
      <c r="C210" s="487" t="s">
        <v>4</v>
      </c>
      <c r="D210" s="487" t="s">
        <v>404</v>
      </c>
      <c r="E210" s="487" t="s">
        <v>405</v>
      </c>
      <c r="F210" s="488" t="s">
        <v>406</v>
      </c>
      <c r="G210" s="489" t="s">
        <v>407</v>
      </c>
      <c r="M210" s="487" t="s">
        <v>686</v>
      </c>
      <c r="N210" s="487" t="s">
        <v>413</v>
      </c>
      <c r="O210" s="487" t="s">
        <v>414</v>
      </c>
      <c r="P210" s="487" t="s">
        <v>415</v>
      </c>
      <c r="Q210" s="487" t="s">
        <v>416</v>
      </c>
      <c r="R210" s="487" t="s">
        <v>90</v>
      </c>
      <c r="S210" s="488" t="s">
        <v>417</v>
      </c>
      <c r="T210" s="487" t="s">
        <v>418</v>
      </c>
      <c r="U210" s="487" t="s">
        <v>419</v>
      </c>
      <c r="V210" s="488" t="s">
        <v>420</v>
      </c>
      <c r="W210" s="488" t="s">
        <v>421</v>
      </c>
      <c r="X210" s="488" t="s">
        <v>422</v>
      </c>
    </row>
    <row r="211" spans="1:24">
      <c r="A211" s="492" t="s">
        <v>423</v>
      </c>
      <c r="B211" s="492" t="s">
        <v>900</v>
      </c>
      <c r="C211" s="492" t="s">
        <v>136</v>
      </c>
      <c r="D211" s="492" t="s">
        <v>901</v>
      </c>
      <c r="E211" s="492" t="s">
        <v>902</v>
      </c>
      <c r="F211" s="493">
        <v>1</v>
      </c>
      <c r="G211" s="494" t="s">
        <v>192</v>
      </c>
      <c r="H211" s="492"/>
      <c r="I211" s="492"/>
      <c r="J211" s="492"/>
      <c r="K211" s="492"/>
      <c r="L211" s="492"/>
      <c r="M211" s="492"/>
      <c r="N211" s="492" t="s">
        <v>903</v>
      </c>
      <c r="O211" s="492" t="s">
        <v>429</v>
      </c>
      <c r="P211" s="492" t="s">
        <v>430</v>
      </c>
      <c r="Q211" s="492" t="s">
        <v>431</v>
      </c>
      <c r="R211" s="492" t="s">
        <v>432</v>
      </c>
      <c r="S211" s="499">
        <v>42219</v>
      </c>
      <c r="T211" s="492" t="s">
        <v>433</v>
      </c>
      <c r="U211" s="492" t="s">
        <v>432</v>
      </c>
      <c r="V211" s="499"/>
      <c r="W211" s="499">
        <v>42260</v>
      </c>
      <c r="X211" s="500">
        <v>41921</v>
      </c>
    </row>
    <row r="212" spans="1:24" ht="195">
      <c r="A212" s="492" t="s">
        <v>423</v>
      </c>
      <c r="B212" s="492" t="s">
        <v>904</v>
      </c>
      <c r="C212" s="492" t="s">
        <v>136</v>
      </c>
      <c r="D212" s="492" t="s">
        <v>905</v>
      </c>
      <c r="E212" s="492" t="s">
        <v>906</v>
      </c>
      <c r="F212" s="493">
        <v>1</v>
      </c>
      <c r="G212" s="494" t="s">
        <v>192</v>
      </c>
      <c r="H212" s="498"/>
      <c r="I212" s="498"/>
      <c r="J212" s="498"/>
      <c r="K212" s="498"/>
      <c r="L212" s="498"/>
      <c r="M212" s="498" t="s">
        <v>907</v>
      </c>
      <c r="N212" s="492" t="s">
        <v>708</v>
      </c>
      <c r="O212" s="492" t="s">
        <v>429</v>
      </c>
      <c r="P212" s="492" t="s">
        <v>521</v>
      </c>
      <c r="Q212" s="492" t="s">
        <v>431</v>
      </c>
      <c r="R212" s="492" t="s">
        <v>432</v>
      </c>
      <c r="S212" s="499">
        <v>42193</v>
      </c>
      <c r="T212" s="492" t="s">
        <v>433</v>
      </c>
      <c r="U212" s="492" t="s">
        <v>432</v>
      </c>
      <c r="V212" s="499"/>
      <c r="W212" s="499">
        <v>42218</v>
      </c>
      <c r="X212" s="500">
        <v>22090.33</v>
      </c>
    </row>
    <row r="213" spans="1:24">
      <c r="A213" s="492" t="s">
        <v>423</v>
      </c>
      <c r="B213" s="492" t="s">
        <v>908</v>
      </c>
      <c r="C213" s="492" t="s">
        <v>136</v>
      </c>
      <c r="D213" s="492" t="s">
        <v>909</v>
      </c>
      <c r="E213" s="492" t="s">
        <v>910</v>
      </c>
      <c r="F213" s="493">
        <v>10</v>
      </c>
      <c r="G213" s="494" t="s">
        <v>134</v>
      </c>
      <c r="H213" s="492"/>
      <c r="I213" s="492"/>
      <c r="J213" s="492"/>
      <c r="K213" s="492"/>
      <c r="L213" s="492"/>
      <c r="M213" s="492"/>
      <c r="N213" s="492" t="s">
        <v>911</v>
      </c>
      <c r="O213" s="492" t="s">
        <v>429</v>
      </c>
      <c r="P213" s="492" t="s">
        <v>521</v>
      </c>
      <c r="Q213" s="492" t="s">
        <v>431</v>
      </c>
      <c r="R213" s="492" t="s">
        <v>432</v>
      </c>
      <c r="S213" s="499">
        <v>42192</v>
      </c>
      <c r="T213" s="492" t="s">
        <v>433</v>
      </c>
      <c r="U213" s="492" t="s">
        <v>432</v>
      </c>
      <c r="V213" s="499"/>
      <c r="W213" s="499">
        <v>42192</v>
      </c>
      <c r="X213" s="500">
        <v>1564.1</v>
      </c>
    </row>
    <row r="214" spans="1:24">
      <c r="A214" s="492" t="s">
        <v>423</v>
      </c>
      <c r="B214" s="492" t="s">
        <v>908</v>
      </c>
      <c r="C214" s="492" t="s">
        <v>147</v>
      </c>
      <c r="D214" s="492" t="s">
        <v>912</v>
      </c>
      <c r="E214" s="492" t="s">
        <v>913</v>
      </c>
      <c r="F214" s="493">
        <v>10</v>
      </c>
      <c r="G214" s="494" t="s">
        <v>134</v>
      </c>
      <c r="H214" s="492"/>
      <c r="I214" s="492"/>
      <c r="J214" s="492"/>
      <c r="K214" s="492"/>
      <c r="L214" s="492"/>
      <c r="M214" s="492"/>
      <c r="N214" s="492" t="s">
        <v>911</v>
      </c>
      <c r="O214" s="492" t="s">
        <v>429</v>
      </c>
      <c r="P214" s="492" t="s">
        <v>521</v>
      </c>
      <c r="Q214" s="492" t="s">
        <v>431</v>
      </c>
      <c r="R214" s="492" t="s">
        <v>432</v>
      </c>
      <c r="S214" s="499">
        <v>42192</v>
      </c>
      <c r="T214" s="492" t="s">
        <v>433</v>
      </c>
      <c r="U214" s="492" t="s">
        <v>432</v>
      </c>
      <c r="V214" s="499"/>
      <c r="W214" s="499">
        <v>42192</v>
      </c>
      <c r="X214" s="500">
        <v>2223.1999999999998</v>
      </c>
    </row>
    <row r="215" spans="1:24">
      <c r="A215" s="492" t="s">
        <v>423</v>
      </c>
      <c r="B215" s="492" t="s">
        <v>908</v>
      </c>
      <c r="C215" s="492" t="s">
        <v>150</v>
      </c>
      <c r="D215" s="492" t="s">
        <v>914</v>
      </c>
      <c r="E215" s="492" t="s">
        <v>915</v>
      </c>
      <c r="F215" s="493">
        <v>10</v>
      </c>
      <c r="G215" s="494" t="s">
        <v>134</v>
      </c>
      <c r="H215" s="492"/>
      <c r="I215" s="492"/>
      <c r="J215" s="492"/>
      <c r="K215" s="492"/>
      <c r="L215" s="492"/>
      <c r="M215" s="492"/>
      <c r="N215" s="492" t="s">
        <v>911</v>
      </c>
      <c r="O215" s="492" t="s">
        <v>429</v>
      </c>
      <c r="P215" s="492" t="s">
        <v>521</v>
      </c>
      <c r="Q215" s="492" t="s">
        <v>431</v>
      </c>
      <c r="R215" s="492" t="s">
        <v>432</v>
      </c>
      <c r="S215" s="499">
        <v>42192</v>
      </c>
      <c r="T215" s="492" t="s">
        <v>433</v>
      </c>
      <c r="U215" s="492" t="s">
        <v>432</v>
      </c>
      <c r="V215" s="499"/>
      <c r="W215" s="499">
        <v>42192</v>
      </c>
      <c r="X215" s="500">
        <v>240</v>
      </c>
    </row>
    <row r="216" spans="1:24">
      <c r="A216" s="492" t="s">
        <v>423</v>
      </c>
      <c r="B216" s="492" t="s">
        <v>908</v>
      </c>
      <c r="C216" s="492" t="s">
        <v>152</v>
      </c>
      <c r="D216" s="492" t="s">
        <v>916</v>
      </c>
      <c r="E216" s="492" t="s">
        <v>917</v>
      </c>
      <c r="F216" s="493">
        <v>10</v>
      </c>
      <c r="G216" s="494" t="s">
        <v>134</v>
      </c>
      <c r="H216" s="492"/>
      <c r="I216" s="492"/>
      <c r="J216" s="492"/>
      <c r="K216" s="492"/>
      <c r="L216" s="492"/>
      <c r="M216" s="492"/>
      <c r="N216" s="492" t="s">
        <v>911</v>
      </c>
      <c r="O216" s="492" t="s">
        <v>429</v>
      </c>
      <c r="P216" s="492" t="s">
        <v>521</v>
      </c>
      <c r="Q216" s="492" t="s">
        <v>431</v>
      </c>
      <c r="R216" s="492" t="s">
        <v>432</v>
      </c>
      <c r="S216" s="499">
        <v>42192</v>
      </c>
      <c r="T216" s="492" t="s">
        <v>433</v>
      </c>
      <c r="U216" s="492" t="s">
        <v>432</v>
      </c>
      <c r="V216" s="499"/>
      <c r="W216" s="499">
        <v>42192</v>
      </c>
      <c r="X216" s="500">
        <v>331.1</v>
      </c>
    </row>
    <row r="217" spans="1:24">
      <c r="A217" s="492" t="s">
        <v>423</v>
      </c>
      <c r="B217" s="492" t="s">
        <v>908</v>
      </c>
      <c r="C217" s="492" t="s">
        <v>140</v>
      </c>
      <c r="D217" s="492" t="s">
        <v>918</v>
      </c>
      <c r="E217" s="492" t="s">
        <v>919</v>
      </c>
      <c r="F217" s="493">
        <v>10</v>
      </c>
      <c r="G217" s="494" t="s">
        <v>134</v>
      </c>
      <c r="H217" s="492"/>
      <c r="I217" s="492"/>
      <c r="J217" s="492"/>
      <c r="K217" s="492"/>
      <c r="L217" s="492"/>
      <c r="M217" s="492"/>
      <c r="N217" s="492" t="s">
        <v>911</v>
      </c>
      <c r="O217" s="492" t="s">
        <v>429</v>
      </c>
      <c r="P217" s="492" t="s">
        <v>521</v>
      </c>
      <c r="Q217" s="492" t="s">
        <v>431</v>
      </c>
      <c r="R217" s="492" t="s">
        <v>432</v>
      </c>
      <c r="S217" s="499">
        <v>42192</v>
      </c>
      <c r="T217" s="492" t="s">
        <v>433</v>
      </c>
      <c r="U217" s="492" t="s">
        <v>432</v>
      </c>
      <c r="V217" s="499"/>
      <c r="W217" s="499">
        <v>42192</v>
      </c>
      <c r="X217" s="500">
        <v>436.8</v>
      </c>
    </row>
    <row r="218" spans="1:24">
      <c r="A218" s="492" t="s">
        <v>423</v>
      </c>
      <c r="B218" s="492" t="s">
        <v>908</v>
      </c>
      <c r="C218" s="492" t="s">
        <v>202</v>
      </c>
      <c r="D218" s="492" t="s">
        <v>920</v>
      </c>
      <c r="E218" s="492" t="s">
        <v>921</v>
      </c>
      <c r="F218" s="493">
        <v>10</v>
      </c>
      <c r="G218" s="494" t="s">
        <v>134</v>
      </c>
      <c r="H218" s="492"/>
      <c r="I218" s="492"/>
      <c r="J218" s="492"/>
      <c r="K218" s="492"/>
      <c r="L218" s="492"/>
      <c r="M218" s="492"/>
      <c r="N218" s="492" t="s">
        <v>911</v>
      </c>
      <c r="O218" s="492" t="s">
        <v>429</v>
      </c>
      <c r="P218" s="492" t="s">
        <v>521</v>
      </c>
      <c r="Q218" s="492" t="s">
        <v>431</v>
      </c>
      <c r="R218" s="492" t="s">
        <v>432</v>
      </c>
      <c r="S218" s="499">
        <v>42192</v>
      </c>
      <c r="T218" s="492" t="s">
        <v>433</v>
      </c>
      <c r="U218" s="492" t="s">
        <v>432</v>
      </c>
      <c r="V218" s="499"/>
      <c r="W218" s="499">
        <v>42192</v>
      </c>
      <c r="X218" s="500">
        <v>714.2</v>
      </c>
    </row>
    <row r="219" spans="1:24">
      <c r="A219" s="492" t="s">
        <v>423</v>
      </c>
      <c r="B219" s="492" t="s">
        <v>908</v>
      </c>
      <c r="C219" s="492" t="s">
        <v>204</v>
      </c>
      <c r="D219" s="492" t="s">
        <v>922</v>
      </c>
      <c r="E219" s="492" t="s">
        <v>923</v>
      </c>
      <c r="F219" s="493">
        <v>10</v>
      </c>
      <c r="G219" s="494" t="s">
        <v>134</v>
      </c>
      <c r="H219" s="492"/>
      <c r="I219" s="492"/>
      <c r="J219" s="492"/>
      <c r="K219" s="492"/>
      <c r="L219" s="492"/>
      <c r="M219" s="492"/>
      <c r="N219" s="492" t="s">
        <v>911</v>
      </c>
      <c r="O219" s="492" t="s">
        <v>429</v>
      </c>
      <c r="P219" s="492" t="s">
        <v>521</v>
      </c>
      <c r="Q219" s="492" t="s">
        <v>431</v>
      </c>
      <c r="R219" s="492" t="s">
        <v>432</v>
      </c>
      <c r="S219" s="499">
        <v>42192</v>
      </c>
      <c r="T219" s="492" t="s">
        <v>433</v>
      </c>
      <c r="U219" s="492" t="s">
        <v>432</v>
      </c>
      <c r="V219" s="499"/>
      <c r="W219" s="499">
        <v>42192</v>
      </c>
      <c r="X219" s="500">
        <v>1085.5999999999999</v>
      </c>
    </row>
    <row r="220" spans="1:24">
      <c r="A220" s="492" t="s">
        <v>423</v>
      </c>
      <c r="B220" s="492" t="s">
        <v>924</v>
      </c>
      <c r="C220" s="492" t="s">
        <v>136</v>
      </c>
      <c r="D220" s="492" t="s">
        <v>925</v>
      </c>
      <c r="E220" s="492" t="s">
        <v>926</v>
      </c>
      <c r="F220" s="493">
        <v>10</v>
      </c>
      <c r="G220" s="494" t="s">
        <v>927</v>
      </c>
      <c r="H220" s="492"/>
      <c r="I220" s="492"/>
      <c r="J220" s="492"/>
      <c r="K220" s="492"/>
      <c r="L220" s="492"/>
      <c r="M220" s="492"/>
      <c r="N220" s="492" t="s">
        <v>928</v>
      </c>
      <c r="O220" s="492" t="s">
        <v>429</v>
      </c>
      <c r="P220" s="492" t="s">
        <v>430</v>
      </c>
      <c r="Q220" s="492" t="s">
        <v>431</v>
      </c>
      <c r="R220" s="492" t="s">
        <v>432</v>
      </c>
      <c r="S220" s="499">
        <v>42222</v>
      </c>
      <c r="T220" s="492" t="s">
        <v>433</v>
      </c>
      <c r="U220" s="492" t="s">
        <v>432</v>
      </c>
      <c r="V220" s="499"/>
      <c r="W220" s="499">
        <v>42235</v>
      </c>
      <c r="X220" s="500">
        <v>297.8</v>
      </c>
    </row>
    <row r="221" spans="1:24">
      <c r="A221" s="492" t="s">
        <v>423</v>
      </c>
      <c r="B221" s="492" t="s">
        <v>924</v>
      </c>
      <c r="C221" s="492" t="s">
        <v>147</v>
      </c>
      <c r="D221" s="492" t="s">
        <v>929</v>
      </c>
      <c r="E221" s="492" t="s">
        <v>930</v>
      </c>
      <c r="F221" s="493">
        <v>10</v>
      </c>
      <c r="G221" s="494" t="s">
        <v>927</v>
      </c>
      <c r="H221" s="492"/>
      <c r="I221" s="492"/>
      <c r="J221" s="492"/>
      <c r="K221" s="492"/>
      <c r="L221" s="492"/>
      <c r="M221" s="492"/>
      <c r="N221" s="492" t="s">
        <v>928</v>
      </c>
      <c r="O221" s="492" t="s">
        <v>429</v>
      </c>
      <c r="P221" s="492" t="s">
        <v>430</v>
      </c>
      <c r="Q221" s="492" t="s">
        <v>431</v>
      </c>
      <c r="R221" s="492" t="s">
        <v>432</v>
      </c>
      <c r="S221" s="499">
        <v>42222</v>
      </c>
      <c r="T221" s="492" t="s">
        <v>433</v>
      </c>
      <c r="U221" s="492" t="s">
        <v>432</v>
      </c>
      <c r="V221" s="499"/>
      <c r="W221" s="499">
        <v>42235</v>
      </c>
      <c r="X221" s="500">
        <v>372.3</v>
      </c>
    </row>
    <row r="222" spans="1:24">
      <c r="A222" s="492" t="s">
        <v>423</v>
      </c>
      <c r="B222" s="492" t="s">
        <v>924</v>
      </c>
      <c r="C222" s="492" t="s">
        <v>150</v>
      </c>
      <c r="D222" s="492" t="s">
        <v>931</v>
      </c>
      <c r="E222" s="492" t="s">
        <v>932</v>
      </c>
      <c r="F222" s="493">
        <v>10</v>
      </c>
      <c r="G222" s="494" t="s">
        <v>927</v>
      </c>
      <c r="H222" s="492"/>
      <c r="I222" s="492"/>
      <c r="J222" s="492"/>
      <c r="K222" s="492"/>
      <c r="L222" s="492"/>
      <c r="M222" s="492"/>
      <c r="N222" s="492" t="s">
        <v>928</v>
      </c>
      <c r="O222" s="492" t="s">
        <v>429</v>
      </c>
      <c r="P222" s="492" t="s">
        <v>430</v>
      </c>
      <c r="Q222" s="492" t="s">
        <v>431</v>
      </c>
      <c r="R222" s="492" t="s">
        <v>432</v>
      </c>
      <c r="S222" s="499">
        <v>42222</v>
      </c>
      <c r="T222" s="492" t="s">
        <v>433</v>
      </c>
      <c r="U222" s="492" t="s">
        <v>432</v>
      </c>
      <c r="V222" s="499"/>
      <c r="W222" s="499">
        <v>42235</v>
      </c>
      <c r="X222" s="500">
        <v>550</v>
      </c>
    </row>
    <row r="223" spans="1:24">
      <c r="A223" s="492" t="s">
        <v>423</v>
      </c>
      <c r="B223" s="492" t="s">
        <v>924</v>
      </c>
      <c r="C223" s="492" t="s">
        <v>152</v>
      </c>
      <c r="D223" s="492" t="s">
        <v>933</v>
      </c>
      <c r="E223" s="492" t="s">
        <v>934</v>
      </c>
      <c r="F223" s="493">
        <v>10</v>
      </c>
      <c r="G223" s="494" t="s">
        <v>927</v>
      </c>
      <c r="H223" s="492"/>
      <c r="I223" s="492"/>
      <c r="J223" s="492"/>
      <c r="K223" s="492"/>
      <c r="L223" s="492"/>
      <c r="M223" s="492"/>
      <c r="N223" s="492" t="s">
        <v>928</v>
      </c>
      <c r="O223" s="492" t="s">
        <v>429</v>
      </c>
      <c r="P223" s="492" t="s">
        <v>430</v>
      </c>
      <c r="Q223" s="492" t="s">
        <v>431</v>
      </c>
      <c r="R223" s="492" t="s">
        <v>432</v>
      </c>
      <c r="S223" s="499">
        <v>42222</v>
      </c>
      <c r="T223" s="492" t="s">
        <v>433</v>
      </c>
      <c r="U223" s="492" t="s">
        <v>432</v>
      </c>
      <c r="V223" s="499"/>
      <c r="W223" s="499">
        <v>42235</v>
      </c>
      <c r="X223" s="500">
        <v>650</v>
      </c>
    </row>
    <row r="224" spans="1:24">
      <c r="A224" s="492" t="s">
        <v>423</v>
      </c>
      <c r="B224" s="492" t="s">
        <v>924</v>
      </c>
      <c r="C224" s="492" t="s">
        <v>140</v>
      </c>
      <c r="D224" s="492" t="s">
        <v>935</v>
      </c>
      <c r="E224" s="492" t="s">
        <v>936</v>
      </c>
      <c r="F224" s="493">
        <v>10</v>
      </c>
      <c r="G224" s="494" t="s">
        <v>927</v>
      </c>
      <c r="H224" s="492"/>
      <c r="I224" s="492"/>
      <c r="J224" s="492"/>
      <c r="K224" s="492"/>
      <c r="L224" s="492"/>
      <c r="M224" s="492"/>
      <c r="N224" s="492" t="s">
        <v>928</v>
      </c>
      <c r="O224" s="492" t="s">
        <v>429</v>
      </c>
      <c r="P224" s="492" t="s">
        <v>430</v>
      </c>
      <c r="Q224" s="492" t="s">
        <v>431</v>
      </c>
      <c r="R224" s="492" t="s">
        <v>432</v>
      </c>
      <c r="S224" s="499">
        <v>42222</v>
      </c>
      <c r="T224" s="492" t="s">
        <v>433</v>
      </c>
      <c r="U224" s="492" t="s">
        <v>432</v>
      </c>
      <c r="V224" s="499"/>
      <c r="W224" s="499">
        <v>42235</v>
      </c>
      <c r="X224" s="500">
        <v>738.6</v>
      </c>
    </row>
    <row r="228" spans="1:24">
      <c r="A228" s="492" t="s">
        <v>423</v>
      </c>
      <c r="B228" s="492" t="s">
        <v>937</v>
      </c>
      <c r="C228" s="492" t="s">
        <v>136</v>
      </c>
      <c r="D228" s="492" t="s">
        <v>938</v>
      </c>
      <c r="E228" s="492" t="s">
        <v>939</v>
      </c>
      <c r="F228" s="493">
        <v>16</v>
      </c>
      <c r="G228" s="494" t="s">
        <v>192</v>
      </c>
      <c r="H228" s="492"/>
      <c r="I228" s="492"/>
      <c r="J228" s="492"/>
      <c r="K228" s="492"/>
      <c r="L228" s="492"/>
      <c r="M228" s="492"/>
      <c r="N228" s="492" t="s">
        <v>940</v>
      </c>
      <c r="O228" s="492" t="s">
        <v>429</v>
      </c>
      <c r="P228" s="492" t="s">
        <v>521</v>
      </c>
      <c r="Q228" s="492" t="s">
        <v>79</v>
      </c>
      <c r="R228" s="492" t="s">
        <v>432</v>
      </c>
      <c r="S228" s="499">
        <v>42196</v>
      </c>
      <c r="T228" s="492" t="s">
        <v>433</v>
      </c>
      <c r="U228" s="492" t="s">
        <v>941</v>
      </c>
      <c r="V228" s="499">
        <v>42201</v>
      </c>
      <c r="W228" s="499">
        <v>42204</v>
      </c>
      <c r="X228" s="500">
        <v>17936</v>
      </c>
    </row>
    <row r="229" spans="1:24">
      <c r="A229" s="492" t="s">
        <v>423</v>
      </c>
      <c r="B229" s="492" t="s">
        <v>937</v>
      </c>
      <c r="C229" s="492" t="s">
        <v>216</v>
      </c>
      <c r="D229" s="492" t="s">
        <v>942</v>
      </c>
      <c r="E229" s="492" t="s">
        <v>943</v>
      </c>
      <c r="F229" s="493">
        <v>6</v>
      </c>
      <c r="G229" s="494" t="s">
        <v>192</v>
      </c>
      <c r="H229" s="492"/>
      <c r="I229" s="492"/>
      <c r="J229" s="492"/>
      <c r="K229" s="492"/>
      <c r="L229" s="492"/>
      <c r="M229" s="492"/>
      <c r="N229" s="492" t="s">
        <v>940</v>
      </c>
      <c r="O229" s="492" t="s">
        <v>429</v>
      </c>
      <c r="P229" s="492" t="s">
        <v>521</v>
      </c>
      <c r="Q229" s="492" t="s">
        <v>79</v>
      </c>
      <c r="R229" s="492" t="s">
        <v>432</v>
      </c>
      <c r="S229" s="499">
        <v>42196</v>
      </c>
      <c r="T229" s="492" t="s">
        <v>433</v>
      </c>
      <c r="U229" s="492" t="s">
        <v>941</v>
      </c>
      <c r="V229" s="499"/>
      <c r="W229" s="499">
        <v>42204</v>
      </c>
      <c r="X229" s="500">
        <v>14478</v>
      </c>
    </row>
    <row r="230" spans="1:24">
      <c r="A230" s="492" t="s">
        <v>423</v>
      </c>
      <c r="B230" s="492" t="s">
        <v>944</v>
      </c>
      <c r="C230" s="492" t="s">
        <v>209</v>
      </c>
      <c r="D230" s="492" t="s">
        <v>945</v>
      </c>
      <c r="E230" s="492" t="s">
        <v>946</v>
      </c>
      <c r="F230" s="493">
        <v>4</v>
      </c>
      <c r="G230" s="494" t="s">
        <v>192</v>
      </c>
      <c r="H230" s="492"/>
      <c r="I230" s="492"/>
      <c r="J230" s="492"/>
      <c r="K230" s="492"/>
      <c r="L230" s="492"/>
      <c r="M230" s="492"/>
      <c r="N230" s="492" t="s">
        <v>947</v>
      </c>
      <c r="O230" s="492" t="s">
        <v>429</v>
      </c>
      <c r="P230" s="492" t="s">
        <v>521</v>
      </c>
      <c r="Q230" s="492" t="s">
        <v>79</v>
      </c>
      <c r="R230" s="492" t="s">
        <v>432</v>
      </c>
      <c r="S230" s="499">
        <v>42144</v>
      </c>
      <c r="T230" s="492" t="s">
        <v>433</v>
      </c>
      <c r="U230" s="492" t="s">
        <v>948</v>
      </c>
      <c r="V230" s="499"/>
      <c r="W230" s="499">
        <v>42164</v>
      </c>
      <c r="X230" s="500">
        <v>4800</v>
      </c>
    </row>
    <row r="231" spans="1:24">
      <c r="A231" s="492" t="s">
        <v>423</v>
      </c>
      <c r="B231" s="492" t="s">
        <v>949</v>
      </c>
      <c r="C231" s="492" t="s">
        <v>147</v>
      </c>
      <c r="D231" s="492" t="s">
        <v>950</v>
      </c>
      <c r="E231" s="492" t="s">
        <v>951</v>
      </c>
      <c r="F231" s="493">
        <v>1</v>
      </c>
      <c r="G231" s="494" t="s">
        <v>192</v>
      </c>
      <c r="H231" s="492"/>
      <c r="I231" s="492"/>
      <c r="J231" s="492"/>
      <c r="K231" s="492"/>
      <c r="L231" s="492"/>
      <c r="M231" s="492"/>
      <c r="N231" s="492" t="s">
        <v>952</v>
      </c>
      <c r="O231" s="492" t="s">
        <v>429</v>
      </c>
      <c r="P231" s="492" t="s">
        <v>521</v>
      </c>
      <c r="Q231" s="492" t="s">
        <v>79</v>
      </c>
      <c r="R231" s="492" t="s">
        <v>432</v>
      </c>
      <c r="S231" s="499">
        <v>42144</v>
      </c>
      <c r="T231" s="492" t="s">
        <v>433</v>
      </c>
      <c r="U231" s="492" t="s">
        <v>953</v>
      </c>
      <c r="V231" s="499"/>
      <c r="W231" s="499">
        <v>42184</v>
      </c>
      <c r="X231" s="500">
        <v>23500</v>
      </c>
    </row>
    <row r="232" spans="1:24">
      <c r="A232" s="492" t="s">
        <v>423</v>
      </c>
      <c r="B232" s="492" t="s">
        <v>871</v>
      </c>
      <c r="C232" s="492" t="s">
        <v>220</v>
      </c>
      <c r="D232" s="492" t="s">
        <v>954</v>
      </c>
      <c r="E232" s="492" t="s">
        <v>955</v>
      </c>
      <c r="F232" s="493">
        <v>12</v>
      </c>
      <c r="G232" s="494" t="s">
        <v>192</v>
      </c>
      <c r="H232" s="492"/>
      <c r="I232" s="492"/>
      <c r="J232" s="492"/>
      <c r="K232" s="492"/>
      <c r="L232" s="492"/>
      <c r="M232" s="492"/>
      <c r="N232" s="492" t="s">
        <v>874</v>
      </c>
      <c r="O232" s="492" t="s">
        <v>429</v>
      </c>
      <c r="P232" s="492" t="s">
        <v>521</v>
      </c>
      <c r="Q232" s="492" t="s">
        <v>79</v>
      </c>
      <c r="R232" s="492" t="s">
        <v>432</v>
      </c>
      <c r="S232" s="499">
        <v>42063</v>
      </c>
      <c r="T232" s="492" t="s">
        <v>433</v>
      </c>
      <c r="U232" s="492" t="s">
        <v>956</v>
      </c>
      <c r="V232" s="499"/>
      <c r="W232" s="499">
        <v>42077</v>
      </c>
      <c r="X232" s="500">
        <v>24148.2</v>
      </c>
    </row>
    <row r="233" spans="1:24">
      <c r="A233" s="492" t="s">
        <v>423</v>
      </c>
      <c r="B233" s="492" t="s">
        <v>871</v>
      </c>
      <c r="C233" s="492" t="s">
        <v>222</v>
      </c>
      <c r="D233" s="492" t="s">
        <v>957</v>
      </c>
      <c r="E233" s="492" t="s">
        <v>958</v>
      </c>
      <c r="F233" s="493">
        <v>12</v>
      </c>
      <c r="G233" s="494" t="s">
        <v>192</v>
      </c>
      <c r="H233" s="492"/>
      <c r="I233" s="492"/>
      <c r="J233" s="492"/>
      <c r="K233" s="492"/>
      <c r="L233" s="492"/>
      <c r="M233" s="492"/>
      <c r="N233" s="492" t="s">
        <v>874</v>
      </c>
      <c r="O233" s="492" t="s">
        <v>429</v>
      </c>
      <c r="P233" s="492" t="s">
        <v>521</v>
      </c>
      <c r="Q233" s="492" t="s">
        <v>79</v>
      </c>
      <c r="R233" s="492" t="s">
        <v>432</v>
      </c>
      <c r="S233" s="499">
        <v>42063</v>
      </c>
      <c r="T233" s="492" t="s">
        <v>433</v>
      </c>
      <c r="U233" s="492" t="s">
        <v>956</v>
      </c>
      <c r="V233" s="499"/>
      <c r="W233" s="499">
        <v>42077</v>
      </c>
      <c r="X233" s="500">
        <v>21924.36</v>
      </c>
    </row>
    <row r="234" spans="1:24">
      <c r="A234" s="492" t="s">
        <v>423</v>
      </c>
      <c r="B234" s="492" t="s">
        <v>959</v>
      </c>
      <c r="C234" s="492" t="s">
        <v>150</v>
      </c>
      <c r="D234" s="492" t="s">
        <v>960</v>
      </c>
      <c r="E234" s="492" t="s">
        <v>961</v>
      </c>
      <c r="F234" s="493">
        <v>2</v>
      </c>
      <c r="G234" s="494" t="s">
        <v>192</v>
      </c>
      <c r="H234" s="492"/>
      <c r="I234" s="492"/>
      <c r="J234" s="492"/>
      <c r="K234" s="492"/>
      <c r="L234" s="492"/>
      <c r="M234" s="492"/>
      <c r="N234" s="492" t="s">
        <v>962</v>
      </c>
      <c r="O234" s="492" t="s">
        <v>429</v>
      </c>
      <c r="P234" s="492" t="s">
        <v>521</v>
      </c>
      <c r="Q234" s="492" t="s">
        <v>79</v>
      </c>
      <c r="R234" s="492" t="s">
        <v>432</v>
      </c>
      <c r="S234" s="499">
        <v>41902</v>
      </c>
      <c r="T234" s="492" t="s">
        <v>433</v>
      </c>
      <c r="U234" s="492" t="s">
        <v>963</v>
      </c>
      <c r="V234" s="499"/>
      <c r="W234" s="499">
        <v>41912</v>
      </c>
      <c r="X234" s="500">
        <v>3000</v>
      </c>
    </row>
    <row r="235" spans="1:24">
      <c r="A235" s="492" t="s">
        <v>423</v>
      </c>
      <c r="B235" s="492" t="s">
        <v>964</v>
      </c>
      <c r="C235" s="492" t="s">
        <v>147</v>
      </c>
      <c r="D235" s="492" t="s">
        <v>965</v>
      </c>
      <c r="E235" s="492" t="s">
        <v>966</v>
      </c>
      <c r="F235" s="493">
        <v>2</v>
      </c>
      <c r="G235" s="494" t="s">
        <v>192</v>
      </c>
      <c r="H235" s="492"/>
      <c r="I235" s="492"/>
      <c r="J235" s="492"/>
      <c r="K235" s="492"/>
      <c r="L235" s="492"/>
      <c r="M235" s="492"/>
      <c r="N235" s="492" t="s">
        <v>967</v>
      </c>
      <c r="O235" s="492" t="s">
        <v>429</v>
      </c>
      <c r="P235" s="492" t="s">
        <v>521</v>
      </c>
      <c r="Q235" s="492" t="s">
        <v>79</v>
      </c>
      <c r="R235" s="492" t="s">
        <v>432</v>
      </c>
      <c r="S235" s="499">
        <v>41778</v>
      </c>
      <c r="T235" s="492" t="s">
        <v>433</v>
      </c>
      <c r="U235" s="492" t="s">
        <v>968</v>
      </c>
      <c r="V235" s="499"/>
      <c r="W235" s="499">
        <v>41814</v>
      </c>
      <c r="X235" s="500">
        <v>20000</v>
      </c>
    </row>
    <row r="236" spans="1:24">
      <c r="A236" s="492" t="s">
        <v>423</v>
      </c>
      <c r="B236" s="492" t="s">
        <v>969</v>
      </c>
      <c r="C236" s="492" t="s">
        <v>669</v>
      </c>
      <c r="D236" s="492" t="s">
        <v>587</v>
      </c>
      <c r="E236" s="492" t="s">
        <v>588</v>
      </c>
      <c r="F236" s="493">
        <v>12</v>
      </c>
      <c r="G236" s="494" t="s">
        <v>192</v>
      </c>
      <c r="H236" s="492"/>
      <c r="I236" s="492"/>
      <c r="J236" s="492"/>
      <c r="K236" s="492"/>
      <c r="L236" s="492"/>
      <c r="M236" s="492"/>
      <c r="N236" s="492" t="s">
        <v>970</v>
      </c>
      <c r="O236" s="492" t="s">
        <v>429</v>
      </c>
      <c r="P236" s="492" t="s">
        <v>521</v>
      </c>
      <c r="Q236" s="492" t="s">
        <v>79</v>
      </c>
      <c r="R236" s="492" t="s">
        <v>432</v>
      </c>
      <c r="S236" s="499">
        <v>41769</v>
      </c>
      <c r="T236" s="492" t="s">
        <v>433</v>
      </c>
      <c r="U236" s="492" t="s">
        <v>971</v>
      </c>
      <c r="V236" s="499"/>
      <c r="W236" s="499">
        <v>41851</v>
      </c>
      <c r="X236" s="500">
        <v>11882.64</v>
      </c>
    </row>
    <row r="237" spans="1:24">
      <c r="A237" s="492" t="s">
        <v>423</v>
      </c>
      <c r="B237" s="492" t="s">
        <v>972</v>
      </c>
      <c r="C237" s="492" t="s">
        <v>204</v>
      </c>
      <c r="D237" s="492" t="s">
        <v>973</v>
      </c>
      <c r="E237" s="492" t="s">
        <v>974</v>
      </c>
      <c r="F237" s="493">
        <v>16</v>
      </c>
      <c r="G237" s="494" t="s">
        <v>192</v>
      </c>
      <c r="H237" s="492"/>
      <c r="I237" s="492"/>
      <c r="J237" s="492"/>
      <c r="K237" s="492"/>
      <c r="L237" s="492"/>
      <c r="M237" s="492"/>
      <c r="N237" s="492" t="s">
        <v>975</v>
      </c>
      <c r="O237" s="492" t="s">
        <v>429</v>
      </c>
      <c r="P237" s="492" t="s">
        <v>521</v>
      </c>
      <c r="Q237" s="492" t="s">
        <v>79</v>
      </c>
      <c r="R237" s="492" t="s">
        <v>432</v>
      </c>
      <c r="S237" s="499">
        <v>41765</v>
      </c>
      <c r="T237" s="492" t="s">
        <v>433</v>
      </c>
      <c r="U237" s="492" t="s">
        <v>976</v>
      </c>
      <c r="V237" s="499"/>
      <c r="W237" s="499">
        <v>41784</v>
      </c>
      <c r="X237" s="500">
        <v>4200</v>
      </c>
    </row>
    <row r="238" spans="1:24">
      <c r="A238" s="492" t="s">
        <v>423</v>
      </c>
      <c r="B238" s="492" t="s">
        <v>977</v>
      </c>
      <c r="C238" s="492" t="s">
        <v>788</v>
      </c>
      <c r="D238" s="492" t="s">
        <v>978</v>
      </c>
      <c r="E238" s="492" t="s">
        <v>979</v>
      </c>
      <c r="F238" s="493">
        <v>2</v>
      </c>
      <c r="G238" s="494" t="s">
        <v>192</v>
      </c>
      <c r="H238" s="492"/>
      <c r="I238" s="492"/>
      <c r="J238" s="492"/>
      <c r="K238" s="492"/>
      <c r="L238" s="492"/>
      <c r="M238" s="492"/>
      <c r="N238" s="492" t="s">
        <v>980</v>
      </c>
      <c r="O238" s="492" t="s">
        <v>429</v>
      </c>
      <c r="P238" s="492" t="s">
        <v>521</v>
      </c>
      <c r="Q238" s="492" t="s">
        <v>79</v>
      </c>
      <c r="R238" s="492" t="s">
        <v>432</v>
      </c>
      <c r="S238" s="499">
        <v>41737</v>
      </c>
      <c r="T238" s="492" t="s">
        <v>433</v>
      </c>
      <c r="U238" s="492" t="s">
        <v>981</v>
      </c>
      <c r="V238" s="499"/>
      <c r="W238" s="499">
        <v>41770</v>
      </c>
      <c r="X238" s="500">
        <v>18000</v>
      </c>
    </row>
    <row r="239" spans="1:24">
      <c r="A239" s="492" t="s">
        <v>423</v>
      </c>
      <c r="B239" s="492" t="s">
        <v>982</v>
      </c>
      <c r="C239" s="492" t="s">
        <v>586</v>
      </c>
      <c r="D239" s="492" t="s">
        <v>983</v>
      </c>
      <c r="E239" s="492" t="s">
        <v>984</v>
      </c>
      <c r="F239" s="493">
        <v>2</v>
      </c>
      <c r="G239" s="494" t="s">
        <v>192</v>
      </c>
      <c r="H239" s="492"/>
      <c r="I239" s="492"/>
      <c r="J239" s="492"/>
      <c r="K239" s="492"/>
      <c r="L239" s="492"/>
      <c r="M239" s="492"/>
      <c r="N239" s="492" t="s">
        <v>985</v>
      </c>
      <c r="O239" s="492" t="s">
        <v>429</v>
      </c>
      <c r="P239" s="492" t="s">
        <v>521</v>
      </c>
      <c r="Q239" s="492" t="s">
        <v>79</v>
      </c>
      <c r="R239" s="492" t="s">
        <v>432</v>
      </c>
      <c r="S239" s="499">
        <v>41643</v>
      </c>
      <c r="T239" s="492" t="s">
        <v>433</v>
      </c>
      <c r="U239" s="492" t="s">
        <v>986</v>
      </c>
      <c r="V239" s="499"/>
      <c r="W239" s="499">
        <v>41679</v>
      </c>
      <c r="X239" s="500">
        <v>10000</v>
      </c>
    </row>
    <row r="240" spans="1:24">
      <c r="A240" s="492" t="s">
        <v>423</v>
      </c>
      <c r="B240" s="492" t="s">
        <v>982</v>
      </c>
      <c r="C240" s="492" t="s">
        <v>589</v>
      </c>
      <c r="D240" s="492" t="s">
        <v>987</v>
      </c>
      <c r="E240" s="492" t="s">
        <v>988</v>
      </c>
      <c r="F240" s="493">
        <v>2</v>
      </c>
      <c r="G240" s="494" t="s">
        <v>192</v>
      </c>
      <c r="H240" s="492"/>
      <c r="I240" s="492"/>
      <c r="J240" s="492"/>
      <c r="K240" s="492"/>
      <c r="L240" s="492"/>
      <c r="M240" s="492"/>
      <c r="N240" s="492" t="s">
        <v>985</v>
      </c>
      <c r="O240" s="492" t="s">
        <v>429</v>
      </c>
      <c r="P240" s="492" t="s">
        <v>521</v>
      </c>
      <c r="Q240" s="492" t="s">
        <v>79</v>
      </c>
      <c r="R240" s="492" t="s">
        <v>432</v>
      </c>
      <c r="S240" s="499">
        <v>41643</v>
      </c>
      <c r="T240" s="492" t="s">
        <v>433</v>
      </c>
      <c r="U240" s="492" t="s">
        <v>986</v>
      </c>
      <c r="V240" s="499"/>
      <c r="W240" s="499">
        <v>41679</v>
      </c>
      <c r="X240" s="500">
        <v>10000</v>
      </c>
    </row>
    <row r="241" spans="1:24">
      <c r="A241" s="492" t="s">
        <v>423</v>
      </c>
      <c r="B241" s="492" t="s">
        <v>989</v>
      </c>
      <c r="C241" s="492" t="s">
        <v>136</v>
      </c>
      <c r="D241" s="492" t="s">
        <v>990</v>
      </c>
      <c r="E241" s="492" t="s">
        <v>991</v>
      </c>
      <c r="F241" s="493">
        <v>1</v>
      </c>
      <c r="G241" s="494" t="s">
        <v>192</v>
      </c>
      <c r="H241" s="492"/>
      <c r="I241" s="492"/>
      <c r="J241" s="492"/>
      <c r="K241" s="492"/>
      <c r="L241" s="492"/>
      <c r="M241" s="492"/>
      <c r="N241" s="492" t="s">
        <v>992</v>
      </c>
      <c r="O241" s="492" t="s">
        <v>429</v>
      </c>
      <c r="P241" s="492" t="s">
        <v>521</v>
      </c>
      <c r="Q241" s="492" t="s">
        <v>79</v>
      </c>
      <c r="R241" s="492" t="s">
        <v>432</v>
      </c>
      <c r="S241" s="499">
        <v>41640</v>
      </c>
      <c r="T241" s="492" t="s">
        <v>433</v>
      </c>
      <c r="U241" s="492" t="s">
        <v>993</v>
      </c>
      <c r="V241" s="499"/>
      <c r="W241" s="499">
        <v>41640</v>
      </c>
      <c r="X241" s="500">
        <v>15000</v>
      </c>
    </row>
    <row r="242" spans="1:24">
      <c r="A242" s="492" t="s">
        <v>423</v>
      </c>
      <c r="B242" s="492" t="s">
        <v>994</v>
      </c>
      <c r="C242" s="492" t="s">
        <v>150</v>
      </c>
      <c r="D242" s="492" t="s">
        <v>995</v>
      </c>
      <c r="E242" s="492" t="s">
        <v>996</v>
      </c>
      <c r="F242" s="493">
        <v>3</v>
      </c>
      <c r="G242" s="494" t="s">
        <v>192</v>
      </c>
      <c r="H242" s="492"/>
      <c r="I242" s="492"/>
      <c r="J242" s="492"/>
      <c r="K242" s="492"/>
      <c r="L242" s="492"/>
      <c r="M242" s="492"/>
      <c r="N242" s="492" t="s">
        <v>997</v>
      </c>
      <c r="O242" s="492" t="s">
        <v>429</v>
      </c>
      <c r="P242" s="492" t="s">
        <v>521</v>
      </c>
      <c r="Q242" s="492" t="s">
        <v>79</v>
      </c>
      <c r="R242" s="492" t="s">
        <v>432</v>
      </c>
      <c r="S242" s="499">
        <v>41558</v>
      </c>
      <c r="T242" s="492" t="s">
        <v>433</v>
      </c>
      <c r="U242" s="492" t="s">
        <v>998</v>
      </c>
      <c r="V242" s="499"/>
      <c r="W242" s="499">
        <v>41558</v>
      </c>
      <c r="X242" s="500">
        <v>2895</v>
      </c>
    </row>
    <row r="243" spans="1:24">
      <c r="A243" s="492" t="s">
        <v>423</v>
      </c>
      <c r="B243" s="492" t="s">
        <v>999</v>
      </c>
      <c r="C243" s="492" t="s">
        <v>136</v>
      </c>
      <c r="D243" s="492" t="s">
        <v>1000</v>
      </c>
      <c r="E243" s="492" t="s">
        <v>1001</v>
      </c>
      <c r="F243" s="493">
        <v>10</v>
      </c>
      <c r="G243" s="494" t="s">
        <v>192</v>
      </c>
      <c r="H243" s="492"/>
      <c r="I243" s="492"/>
      <c r="J243" s="492"/>
      <c r="K243" s="492"/>
      <c r="L243" s="492"/>
      <c r="M243" s="492"/>
      <c r="N243" s="492" t="s">
        <v>997</v>
      </c>
      <c r="O243" s="492" t="s">
        <v>429</v>
      </c>
      <c r="P243" s="492" t="s">
        <v>521</v>
      </c>
      <c r="Q243" s="492" t="s">
        <v>79</v>
      </c>
      <c r="R243" s="492" t="s">
        <v>432</v>
      </c>
      <c r="S243" s="499">
        <v>41558</v>
      </c>
      <c r="T243" s="492" t="s">
        <v>433</v>
      </c>
      <c r="U243" s="492" t="s">
        <v>998</v>
      </c>
      <c r="V243" s="499"/>
      <c r="W243" s="499">
        <v>41558</v>
      </c>
      <c r="X243" s="500">
        <v>1400</v>
      </c>
    </row>
    <row r="244" spans="1:24">
      <c r="A244" s="492" t="s">
        <v>423</v>
      </c>
      <c r="B244" s="492" t="s">
        <v>1002</v>
      </c>
      <c r="C244" s="492" t="s">
        <v>136</v>
      </c>
      <c r="D244" s="492" t="s">
        <v>1003</v>
      </c>
      <c r="E244" s="492" t="s">
        <v>1004</v>
      </c>
      <c r="F244" s="493">
        <v>2</v>
      </c>
      <c r="G244" s="494" t="s">
        <v>192</v>
      </c>
      <c r="H244" s="492"/>
      <c r="I244" s="492"/>
      <c r="J244" s="492"/>
      <c r="K244" s="492"/>
      <c r="L244" s="492"/>
      <c r="M244" s="492"/>
      <c r="N244" s="492" t="s">
        <v>1005</v>
      </c>
      <c r="O244" s="492" t="s">
        <v>429</v>
      </c>
      <c r="P244" s="492" t="s">
        <v>521</v>
      </c>
      <c r="Q244" s="492" t="s">
        <v>79</v>
      </c>
      <c r="R244" s="492" t="s">
        <v>432</v>
      </c>
      <c r="S244" s="499">
        <v>41436</v>
      </c>
      <c r="T244" s="492" t="s">
        <v>433</v>
      </c>
      <c r="U244" s="492" t="s">
        <v>1006</v>
      </c>
      <c r="V244" s="499"/>
      <c r="W244" s="499">
        <v>41436</v>
      </c>
      <c r="X244" s="500">
        <v>2510</v>
      </c>
    </row>
    <row r="245" spans="1:24">
      <c r="A245" s="492" t="s">
        <v>423</v>
      </c>
      <c r="B245" s="492" t="s">
        <v>1007</v>
      </c>
      <c r="C245" s="492" t="s">
        <v>782</v>
      </c>
      <c r="D245" s="492" t="s">
        <v>1008</v>
      </c>
      <c r="E245" s="492" t="s">
        <v>1009</v>
      </c>
      <c r="F245" s="493">
        <v>1</v>
      </c>
      <c r="G245" s="494" t="s">
        <v>721</v>
      </c>
      <c r="H245" s="492"/>
      <c r="I245" s="492"/>
      <c r="J245" s="492"/>
      <c r="K245" s="492"/>
      <c r="L245" s="492"/>
      <c r="M245" s="492"/>
      <c r="N245" s="492" t="s">
        <v>1010</v>
      </c>
      <c r="O245" s="492" t="s">
        <v>429</v>
      </c>
      <c r="P245" s="492" t="s">
        <v>521</v>
      </c>
      <c r="Q245" s="492" t="s">
        <v>79</v>
      </c>
      <c r="R245" s="492" t="s">
        <v>432</v>
      </c>
      <c r="S245" s="499">
        <v>41433</v>
      </c>
      <c r="T245" s="492" t="s">
        <v>433</v>
      </c>
      <c r="U245" s="492" t="s">
        <v>1011</v>
      </c>
      <c r="V245" s="499"/>
      <c r="W245" s="499">
        <v>41433</v>
      </c>
      <c r="X245" s="500">
        <v>4100</v>
      </c>
    </row>
    <row r="246" spans="1:24">
      <c r="A246" s="492" t="s">
        <v>423</v>
      </c>
      <c r="B246" s="492" t="s">
        <v>1012</v>
      </c>
      <c r="C246" s="492" t="s">
        <v>147</v>
      </c>
      <c r="D246" s="492" t="s">
        <v>1013</v>
      </c>
      <c r="E246" s="492" t="s">
        <v>1014</v>
      </c>
      <c r="F246" s="493">
        <v>3</v>
      </c>
      <c r="G246" s="494" t="s">
        <v>721</v>
      </c>
      <c r="H246" s="492"/>
      <c r="I246" s="492"/>
      <c r="J246" s="492"/>
      <c r="K246" s="492"/>
      <c r="L246" s="492"/>
      <c r="M246" s="492"/>
      <c r="N246" s="492" t="s">
        <v>1015</v>
      </c>
      <c r="O246" s="492" t="s">
        <v>429</v>
      </c>
      <c r="P246" s="492" t="s">
        <v>521</v>
      </c>
      <c r="Q246" s="492" t="s">
        <v>79</v>
      </c>
      <c r="R246" s="492" t="s">
        <v>432</v>
      </c>
      <c r="S246" s="499">
        <v>42188</v>
      </c>
      <c r="T246" s="492" t="s">
        <v>433</v>
      </c>
      <c r="U246" s="492" t="s">
        <v>1016</v>
      </c>
      <c r="V246" s="499">
        <v>42201</v>
      </c>
      <c r="W246" s="499">
        <v>42206</v>
      </c>
      <c r="X246" s="500">
        <v>11214.48</v>
      </c>
    </row>
    <row r="247" spans="1:24">
      <c r="A247" s="492" t="s">
        <v>423</v>
      </c>
      <c r="B247" s="492" t="s">
        <v>1012</v>
      </c>
      <c r="C247" s="492" t="s">
        <v>150</v>
      </c>
      <c r="D247" s="492" t="s">
        <v>1017</v>
      </c>
      <c r="E247" s="492" t="s">
        <v>1018</v>
      </c>
      <c r="F247" s="493">
        <v>3</v>
      </c>
      <c r="G247" s="494" t="s">
        <v>721</v>
      </c>
      <c r="H247" s="492"/>
      <c r="I247" s="492"/>
      <c r="J247" s="492"/>
      <c r="K247" s="492"/>
      <c r="L247" s="492"/>
      <c r="M247" s="492"/>
      <c r="N247" s="492" t="s">
        <v>1015</v>
      </c>
      <c r="O247" s="492" t="s">
        <v>429</v>
      </c>
      <c r="P247" s="492" t="s">
        <v>521</v>
      </c>
      <c r="Q247" s="492" t="s">
        <v>79</v>
      </c>
      <c r="R247" s="492" t="s">
        <v>432</v>
      </c>
      <c r="S247" s="499">
        <v>42188</v>
      </c>
      <c r="T247" s="492" t="s">
        <v>433</v>
      </c>
      <c r="U247" s="492" t="s">
        <v>1016</v>
      </c>
      <c r="V247" s="499">
        <v>42201</v>
      </c>
      <c r="W247" s="499">
        <v>42206</v>
      </c>
      <c r="X247" s="500">
        <v>20000.939999999999</v>
      </c>
    </row>
    <row r="248" spans="1:24">
      <c r="A248" s="492" t="s">
        <v>423</v>
      </c>
      <c r="B248" s="492" t="s">
        <v>1012</v>
      </c>
      <c r="C248" s="492" t="s">
        <v>152</v>
      </c>
      <c r="D248" s="492" t="s">
        <v>1019</v>
      </c>
      <c r="E248" s="492" t="s">
        <v>1020</v>
      </c>
      <c r="F248" s="493">
        <v>5</v>
      </c>
      <c r="G248" s="494" t="s">
        <v>721</v>
      </c>
      <c r="H248" s="492"/>
      <c r="I248" s="492"/>
      <c r="J248" s="492"/>
      <c r="K248" s="492"/>
      <c r="L248" s="492"/>
      <c r="M248" s="492"/>
      <c r="N248" s="492" t="s">
        <v>1015</v>
      </c>
      <c r="O248" s="492" t="s">
        <v>429</v>
      </c>
      <c r="P248" s="492" t="s">
        <v>521</v>
      </c>
      <c r="Q248" s="492" t="s">
        <v>79</v>
      </c>
      <c r="R248" s="492" t="s">
        <v>432</v>
      </c>
      <c r="S248" s="499">
        <v>42188</v>
      </c>
      <c r="T248" s="492" t="s">
        <v>433</v>
      </c>
      <c r="U248" s="492" t="s">
        <v>1016</v>
      </c>
      <c r="V248" s="499">
        <v>42201</v>
      </c>
      <c r="W248" s="499">
        <v>42206</v>
      </c>
      <c r="X248" s="500">
        <v>6323.95</v>
      </c>
    </row>
    <row r="249" spans="1:24">
      <c r="A249" s="492" t="s">
        <v>423</v>
      </c>
      <c r="B249" s="492" t="s">
        <v>1012</v>
      </c>
      <c r="C249" s="492" t="s">
        <v>224</v>
      </c>
      <c r="D249" s="492" t="s">
        <v>1021</v>
      </c>
      <c r="E249" s="492" t="s">
        <v>1022</v>
      </c>
      <c r="F249" s="493">
        <v>6</v>
      </c>
      <c r="G249" s="494" t="s">
        <v>192</v>
      </c>
      <c r="H249" s="492"/>
      <c r="I249" s="492"/>
      <c r="J249" s="492"/>
      <c r="K249" s="492"/>
      <c r="L249" s="492"/>
      <c r="M249" s="492"/>
      <c r="N249" s="492" t="s">
        <v>1015</v>
      </c>
      <c r="O249" s="492" t="s">
        <v>429</v>
      </c>
      <c r="P249" s="492" t="s">
        <v>521</v>
      </c>
      <c r="Q249" s="492" t="s">
        <v>79</v>
      </c>
      <c r="R249" s="492" t="s">
        <v>432</v>
      </c>
      <c r="S249" s="499">
        <v>42188</v>
      </c>
      <c r="T249" s="492" t="s">
        <v>433</v>
      </c>
      <c r="U249" s="492" t="s">
        <v>1023</v>
      </c>
      <c r="V249" s="499"/>
      <c r="W249" s="499">
        <v>42206</v>
      </c>
      <c r="X249" s="500">
        <v>1890</v>
      </c>
    </row>
  </sheetData>
  <pageMargins left="0.7" right="0.7" top="0.75" bottom="0.75" header="0.3" footer="0.3"/>
  <pageSetup scale="50" orientation="portrait" r:id="rId1"/>
  <colBreaks count="1" manualBreakCount="1">
    <brk id="12" max="248"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opLeftCell="A89" workbookViewId="0">
      <selection activeCell="E102" sqref="E102"/>
    </sheetView>
  </sheetViews>
  <sheetFormatPr defaultRowHeight="15"/>
  <cols>
    <col min="1" max="1" width="11" style="540" bestFit="1" customWidth="1"/>
    <col min="2" max="2" width="5.140625" style="540" bestFit="1" customWidth="1"/>
    <col min="3" max="3" width="8.5703125" style="540" bestFit="1" customWidth="1"/>
    <col min="4" max="4" width="40.28515625" style="540" bestFit="1" customWidth="1"/>
    <col min="5" max="5" width="43.7109375" style="540" customWidth="1"/>
    <col min="6" max="6" width="8.7109375" style="540" bestFit="1" customWidth="1"/>
    <col min="7" max="7" width="4.85546875" style="540" bestFit="1" customWidth="1"/>
    <col min="8" max="8" width="18.42578125" style="540" bestFit="1" customWidth="1"/>
    <col min="9" max="9" width="15.7109375" style="540" bestFit="1" customWidth="1"/>
    <col min="10" max="10" width="17.42578125" style="540" bestFit="1" customWidth="1"/>
    <col min="11" max="16384" width="9.140625" style="540"/>
  </cols>
  <sheetData>
    <row r="1" spans="1:10" ht="15.75" thickBot="1">
      <c r="A1" s="541" t="s">
        <v>403</v>
      </c>
      <c r="B1" s="542" t="s">
        <v>4</v>
      </c>
      <c r="C1" s="542" t="s">
        <v>404</v>
      </c>
      <c r="D1" s="542" t="s">
        <v>405</v>
      </c>
      <c r="E1" s="542" t="s">
        <v>686</v>
      </c>
      <c r="F1" s="542" t="s">
        <v>406</v>
      </c>
      <c r="G1" s="542" t="s">
        <v>407</v>
      </c>
      <c r="H1" s="542" t="s">
        <v>1028</v>
      </c>
      <c r="I1" s="542" t="s">
        <v>1029</v>
      </c>
      <c r="J1" s="542" t="s">
        <v>1030</v>
      </c>
    </row>
    <row r="2" spans="1:10" ht="30.75" thickBot="1">
      <c r="A2" s="543">
        <v>1100018397</v>
      </c>
      <c r="B2" s="544">
        <v>10</v>
      </c>
      <c r="C2" s="545">
        <v>1310923</v>
      </c>
      <c r="D2" s="545" t="s">
        <v>1031</v>
      </c>
      <c r="E2" s="546" t="s">
        <v>1032</v>
      </c>
      <c r="F2" s="544">
        <v>12</v>
      </c>
      <c r="G2" s="545" t="s">
        <v>192</v>
      </c>
      <c r="H2" s="547">
        <v>328</v>
      </c>
      <c r="I2" s="544">
        <v>820</v>
      </c>
      <c r="J2" s="544">
        <v>328</v>
      </c>
    </row>
    <row r="3" spans="1:10" ht="30.75" thickBot="1">
      <c r="A3" s="543">
        <v>1100018397</v>
      </c>
      <c r="B3" s="545">
        <v>20</v>
      </c>
      <c r="C3" s="545">
        <v>1310918</v>
      </c>
      <c r="D3" s="545" t="s">
        <v>1033</v>
      </c>
      <c r="E3" s="546" t="s">
        <v>1032</v>
      </c>
      <c r="F3" s="544">
        <v>12</v>
      </c>
      <c r="G3" s="545" t="s">
        <v>192</v>
      </c>
      <c r="H3" s="547">
        <v>352</v>
      </c>
      <c r="I3" s="544">
        <v>880</v>
      </c>
      <c r="J3" s="544">
        <v>352</v>
      </c>
    </row>
    <row r="4" spans="1:10" ht="30.75" thickBot="1">
      <c r="A4" s="543">
        <v>1100018397</v>
      </c>
      <c r="B4" s="545">
        <v>30</v>
      </c>
      <c r="C4" s="545">
        <v>1311015</v>
      </c>
      <c r="D4" s="545" t="s">
        <v>1034</v>
      </c>
      <c r="E4" s="546" t="s">
        <v>1035</v>
      </c>
      <c r="F4" s="544">
        <v>12</v>
      </c>
      <c r="G4" s="545" t="s">
        <v>192</v>
      </c>
      <c r="H4" s="544">
        <v>415</v>
      </c>
      <c r="I4" s="544">
        <v>920</v>
      </c>
      <c r="J4" s="544">
        <v>368</v>
      </c>
    </row>
    <row r="5" spans="1:10" ht="30.75" thickBot="1">
      <c r="A5" s="543">
        <v>1100018397</v>
      </c>
      <c r="B5" s="545">
        <v>40</v>
      </c>
      <c r="C5" s="545">
        <v>1311019</v>
      </c>
      <c r="D5" s="545" t="s">
        <v>1036</v>
      </c>
      <c r="E5" s="546" t="s">
        <v>1035</v>
      </c>
      <c r="F5" s="544">
        <v>2</v>
      </c>
      <c r="G5" s="545" t="s">
        <v>192</v>
      </c>
      <c r="H5" s="544">
        <v>4430</v>
      </c>
      <c r="I5" s="544">
        <v>9840</v>
      </c>
      <c r="J5" s="544">
        <v>3936</v>
      </c>
    </row>
    <row r="6" spans="1:10" ht="30.75" thickBot="1">
      <c r="A6" s="543">
        <v>1100018397</v>
      </c>
      <c r="B6" s="545">
        <v>50</v>
      </c>
      <c r="C6" s="545">
        <v>1311021</v>
      </c>
      <c r="D6" s="545" t="s">
        <v>1037</v>
      </c>
      <c r="E6" s="546" t="s">
        <v>1035</v>
      </c>
      <c r="F6" s="544">
        <v>6</v>
      </c>
      <c r="G6" s="545" t="s">
        <v>192</v>
      </c>
      <c r="H6" s="544">
        <v>585</v>
      </c>
      <c r="I6" s="548">
        <v>1300</v>
      </c>
      <c r="J6" s="544">
        <v>520</v>
      </c>
    </row>
    <row r="7" spans="1:10" ht="30.75" thickBot="1">
      <c r="A7" s="543">
        <v>1100018397</v>
      </c>
      <c r="B7" s="545">
        <v>60</v>
      </c>
      <c r="C7" s="545">
        <v>1315454</v>
      </c>
      <c r="D7" s="545" t="s">
        <v>1038</v>
      </c>
      <c r="E7" s="546" t="s">
        <v>1035</v>
      </c>
      <c r="F7" s="544">
        <v>1</v>
      </c>
      <c r="G7" s="545" t="s">
        <v>192</v>
      </c>
      <c r="H7" s="547">
        <v>6384</v>
      </c>
      <c r="I7" s="544">
        <v>15960</v>
      </c>
      <c r="J7" s="544">
        <v>6384</v>
      </c>
    </row>
    <row r="8" spans="1:10" ht="30.75" thickBot="1">
      <c r="A8" s="543">
        <v>1100018397</v>
      </c>
      <c r="B8" s="545">
        <v>70</v>
      </c>
      <c r="C8" s="545">
        <v>1311013</v>
      </c>
      <c r="D8" s="545" t="s">
        <v>1039</v>
      </c>
      <c r="E8" s="546" t="s">
        <v>1035</v>
      </c>
      <c r="F8" s="544">
        <v>12</v>
      </c>
      <c r="G8" s="545" t="s">
        <v>192</v>
      </c>
      <c r="H8" s="544">
        <v>580</v>
      </c>
      <c r="I8" s="548">
        <v>1290</v>
      </c>
      <c r="J8" s="544">
        <v>516</v>
      </c>
    </row>
    <row r="9" spans="1:10" ht="30.75" thickBot="1">
      <c r="A9" s="543">
        <v>1100018397</v>
      </c>
      <c r="B9" s="545">
        <v>80</v>
      </c>
      <c r="C9" s="545">
        <v>1311016</v>
      </c>
      <c r="D9" s="545" t="s">
        <v>1040</v>
      </c>
      <c r="E9" s="546" t="s">
        <v>1035</v>
      </c>
      <c r="F9" s="544">
        <v>12</v>
      </c>
      <c r="G9" s="545" t="s">
        <v>192</v>
      </c>
      <c r="H9" s="544">
        <v>455</v>
      </c>
      <c r="I9" s="548">
        <v>1010</v>
      </c>
      <c r="J9" s="544">
        <v>404</v>
      </c>
    </row>
    <row r="10" spans="1:10" ht="30.75" thickBot="1">
      <c r="A10" s="543">
        <v>1100018397</v>
      </c>
      <c r="B10" s="545">
        <v>90</v>
      </c>
      <c r="C10" s="545">
        <v>1310974</v>
      </c>
      <c r="D10" s="545" t="s">
        <v>1041</v>
      </c>
      <c r="E10" s="546" t="s">
        <v>1042</v>
      </c>
      <c r="F10" s="544">
        <v>6</v>
      </c>
      <c r="G10" s="545" t="s">
        <v>192</v>
      </c>
      <c r="H10" s="547">
        <v>424</v>
      </c>
      <c r="I10" s="544">
        <v>1060</v>
      </c>
      <c r="J10" s="544">
        <v>424</v>
      </c>
    </row>
    <row r="11" spans="1:10" ht="30.75" thickBot="1">
      <c r="A11" s="543">
        <v>1100018397</v>
      </c>
      <c r="B11" s="545">
        <v>100</v>
      </c>
      <c r="C11" s="545">
        <v>1310973</v>
      </c>
      <c r="D11" s="545" t="s">
        <v>1043</v>
      </c>
      <c r="E11" s="546" t="s">
        <v>1042</v>
      </c>
      <c r="F11" s="544">
        <v>6</v>
      </c>
      <c r="G11" s="545" t="s">
        <v>192</v>
      </c>
      <c r="H11" s="547">
        <v>408</v>
      </c>
      <c r="I11" s="544">
        <v>1020</v>
      </c>
      <c r="J11" s="544">
        <v>408</v>
      </c>
    </row>
    <row r="12" spans="1:10" ht="30.75" thickBot="1">
      <c r="A12" s="543">
        <v>1100018397</v>
      </c>
      <c r="B12" s="545">
        <v>110</v>
      </c>
      <c r="C12" s="545">
        <v>1310982</v>
      </c>
      <c r="D12" s="545" t="s">
        <v>1044</v>
      </c>
      <c r="E12" s="546" t="s">
        <v>1042</v>
      </c>
      <c r="F12" s="544">
        <v>12</v>
      </c>
      <c r="G12" s="545" t="s">
        <v>192</v>
      </c>
      <c r="H12" s="547">
        <v>432</v>
      </c>
      <c r="I12" s="544">
        <v>1080</v>
      </c>
      <c r="J12" s="544">
        <v>432</v>
      </c>
    </row>
    <row r="13" spans="1:10" ht="30.75" thickBot="1">
      <c r="A13" s="543">
        <v>1100018397</v>
      </c>
      <c r="B13" s="545">
        <v>120</v>
      </c>
      <c r="C13" s="545">
        <v>1310984</v>
      </c>
      <c r="D13" s="545" t="s">
        <v>1045</v>
      </c>
      <c r="E13" s="546" t="s">
        <v>1042</v>
      </c>
      <c r="F13" s="544">
        <v>6</v>
      </c>
      <c r="G13" s="545" t="s">
        <v>192</v>
      </c>
      <c r="H13" s="547">
        <v>520</v>
      </c>
      <c r="I13" s="544">
        <v>1300</v>
      </c>
      <c r="J13" s="544">
        <v>520</v>
      </c>
    </row>
    <row r="14" spans="1:10" ht="45.75" thickBot="1">
      <c r="A14" s="543">
        <v>1100018397</v>
      </c>
      <c r="B14" s="545">
        <v>130</v>
      </c>
      <c r="C14" s="545">
        <v>1310990</v>
      </c>
      <c r="D14" s="545" t="s">
        <v>1046</v>
      </c>
      <c r="E14" s="546" t="s">
        <v>1047</v>
      </c>
      <c r="F14" s="544">
        <v>6</v>
      </c>
      <c r="G14" s="545" t="s">
        <v>192</v>
      </c>
      <c r="H14" s="547">
        <v>644</v>
      </c>
      <c r="I14" s="544">
        <v>1610</v>
      </c>
      <c r="J14" s="544">
        <v>644</v>
      </c>
    </row>
    <row r="15" spans="1:10" ht="45.75" thickBot="1">
      <c r="A15" s="543">
        <v>1100018397</v>
      </c>
      <c r="B15" s="545">
        <v>140</v>
      </c>
      <c r="C15" s="545">
        <v>1310991</v>
      </c>
      <c r="D15" s="545" t="s">
        <v>1048</v>
      </c>
      <c r="E15" s="546" t="s">
        <v>1047</v>
      </c>
      <c r="F15" s="544">
        <v>12</v>
      </c>
      <c r="G15" s="545" t="s">
        <v>192</v>
      </c>
      <c r="H15" s="544">
        <v>665.6</v>
      </c>
      <c r="I15" s="548">
        <v>1420</v>
      </c>
      <c r="J15" s="544">
        <v>568</v>
      </c>
    </row>
    <row r="16" spans="1:10" ht="45.75" thickBot="1">
      <c r="A16" s="543">
        <v>1100018397</v>
      </c>
      <c r="B16" s="545">
        <v>150</v>
      </c>
      <c r="C16" s="545">
        <v>1310989</v>
      </c>
      <c r="D16" s="545" t="s">
        <v>1049</v>
      </c>
      <c r="E16" s="546" t="s">
        <v>1047</v>
      </c>
      <c r="F16" s="544">
        <v>12</v>
      </c>
      <c r="G16" s="545" t="s">
        <v>192</v>
      </c>
      <c r="H16" s="547">
        <v>504</v>
      </c>
      <c r="I16" s="544">
        <v>1260</v>
      </c>
      <c r="J16" s="544">
        <v>504</v>
      </c>
    </row>
    <row r="17" spans="1:10" ht="45.75" thickBot="1">
      <c r="A17" s="543">
        <v>1100018397</v>
      </c>
      <c r="B17" s="545">
        <v>160</v>
      </c>
      <c r="C17" s="545">
        <v>1310986</v>
      </c>
      <c r="D17" s="545" t="s">
        <v>1050</v>
      </c>
      <c r="E17" s="546" t="s">
        <v>1047</v>
      </c>
      <c r="F17" s="544">
        <v>12</v>
      </c>
      <c r="G17" s="545" t="s">
        <v>192</v>
      </c>
      <c r="H17" s="547">
        <v>520</v>
      </c>
      <c r="I17" s="544">
        <v>1300</v>
      </c>
      <c r="J17" s="544">
        <v>520</v>
      </c>
    </row>
    <row r="18" spans="1:10" ht="45.75" thickBot="1">
      <c r="A18" s="543">
        <v>1100018397</v>
      </c>
      <c r="B18" s="545">
        <v>170</v>
      </c>
      <c r="C18" s="545">
        <v>1310985</v>
      </c>
      <c r="D18" s="545" t="s">
        <v>1051</v>
      </c>
      <c r="E18" s="546" t="s">
        <v>1047</v>
      </c>
      <c r="F18" s="544">
        <v>12</v>
      </c>
      <c r="G18" s="545" t="s">
        <v>192</v>
      </c>
      <c r="H18" s="544">
        <v>535.6</v>
      </c>
      <c r="I18" s="548">
        <v>1240</v>
      </c>
      <c r="J18" s="544">
        <v>496</v>
      </c>
    </row>
    <row r="19" spans="1:10" ht="45.75" thickBot="1">
      <c r="A19" s="543">
        <v>1100018397</v>
      </c>
      <c r="B19" s="545">
        <v>180</v>
      </c>
      <c r="C19" s="545">
        <v>1310994</v>
      </c>
      <c r="D19" s="545" t="s">
        <v>1052</v>
      </c>
      <c r="E19" s="546" t="s">
        <v>1047</v>
      </c>
      <c r="F19" s="544">
        <v>12</v>
      </c>
      <c r="G19" s="545" t="s">
        <v>192</v>
      </c>
      <c r="H19" s="547">
        <v>528</v>
      </c>
      <c r="I19" s="544">
        <v>1320</v>
      </c>
      <c r="J19" s="544">
        <v>528</v>
      </c>
    </row>
    <row r="20" spans="1:10" ht="45.75" thickBot="1">
      <c r="A20" s="543">
        <v>1100018397</v>
      </c>
      <c r="B20" s="545">
        <v>190</v>
      </c>
      <c r="C20" s="545">
        <v>1310996</v>
      </c>
      <c r="D20" s="545" t="s">
        <v>1053</v>
      </c>
      <c r="E20" s="546" t="s">
        <v>1047</v>
      </c>
      <c r="F20" s="544">
        <v>12</v>
      </c>
      <c r="G20" s="545" t="s">
        <v>192</v>
      </c>
      <c r="H20" s="544">
        <v>730</v>
      </c>
      <c r="I20" s="548">
        <v>1460</v>
      </c>
      <c r="J20" s="544">
        <v>584</v>
      </c>
    </row>
    <row r="21" spans="1:10" ht="45.75" thickBot="1">
      <c r="A21" s="543">
        <v>1100018397</v>
      </c>
      <c r="B21" s="545">
        <v>200</v>
      </c>
      <c r="C21" s="545">
        <v>1310911</v>
      </c>
      <c r="D21" s="545" t="s">
        <v>1054</v>
      </c>
      <c r="E21" s="546" t="s">
        <v>1047</v>
      </c>
      <c r="F21" s="544">
        <v>12</v>
      </c>
      <c r="G21" s="545" t="s">
        <v>192</v>
      </c>
      <c r="H21" s="544">
        <v>835</v>
      </c>
      <c r="I21" s="548">
        <v>1460</v>
      </c>
      <c r="J21" s="544">
        <v>584</v>
      </c>
    </row>
    <row r="22" spans="1:10" ht="30.75" thickBot="1">
      <c r="A22" s="543">
        <v>1100018397</v>
      </c>
      <c r="B22" s="545">
        <v>210</v>
      </c>
      <c r="C22" s="545">
        <v>1311028</v>
      </c>
      <c r="D22" s="545" t="s">
        <v>1055</v>
      </c>
      <c r="E22" s="546" t="s">
        <v>1056</v>
      </c>
      <c r="F22" s="544">
        <v>12</v>
      </c>
      <c r="G22" s="545" t="s">
        <v>192</v>
      </c>
      <c r="H22" s="544">
        <v>595</v>
      </c>
      <c r="I22" s="548">
        <v>1460</v>
      </c>
      <c r="J22" s="544">
        <v>584</v>
      </c>
    </row>
    <row r="23" spans="1:10" ht="30.75" thickBot="1">
      <c r="A23" s="543">
        <v>1100018397</v>
      </c>
      <c r="B23" s="545">
        <v>220</v>
      </c>
      <c r="C23" s="545">
        <v>1311025</v>
      </c>
      <c r="D23" s="545" t="s">
        <v>1057</v>
      </c>
      <c r="E23" s="546" t="s">
        <v>1056</v>
      </c>
      <c r="F23" s="544">
        <v>12</v>
      </c>
      <c r="G23" s="545" t="s">
        <v>192</v>
      </c>
      <c r="H23" s="544">
        <v>640</v>
      </c>
      <c r="I23" s="548">
        <v>1280</v>
      </c>
      <c r="J23" s="544">
        <v>512</v>
      </c>
    </row>
    <row r="24" spans="1:10" ht="30.75" thickBot="1">
      <c r="A24" s="543">
        <v>1100018397</v>
      </c>
      <c r="B24" s="545">
        <v>230</v>
      </c>
      <c r="C24" s="545">
        <v>1311027</v>
      </c>
      <c r="D24" s="545" t="s">
        <v>1058</v>
      </c>
      <c r="E24" s="546" t="s">
        <v>1056</v>
      </c>
      <c r="F24" s="544">
        <v>1</v>
      </c>
      <c r="G24" s="545" t="s">
        <v>192</v>
      </c>
      <c r="H24" s="544">
        <v>6855</v>
      </c>
      <c r="I24" s="548">
        <v>15230</v>
      </c>
      <c r="J24" s="544">
        <v>6092</v>
      </c>
    </row>
    <row r="25" spans="1:10" ht="30.75" thickBot="1">
      <c r="A25" s="543">
        <v>1100018397</v>
      </c>
      <c r="B25" s="545">
        <v>240</v>
      </c>
      <c r="C25" s="545">
        <v>1311023</v>
      </c>
      <c r="D25" s="545" t="s">
        <v>1059</v>
      </c>
      <c r="E25" s="546" t="s">
        <v>1056</v>
      </c>
      <c r="F25" s="544">
        <v>12</v>
      </c>
      <c r="G25" s="545" t="s">
        <v>192</v>
      </c>
      <c r="H25" s="544">
        <v>630</v>
      </c>
      <c r="I25" s="548">
        <v>1260</v>
      </c>
      <c r="J25" s="544">
        <v>504</v>
      </c>
    </row>
    <row r="26" spans="1:10" ht="30.75" thickBot="1">
      <c r="A26" s="543">
        <v>1100018397</v>
      </c>
      <c r="B26" s="545">
        <v>250</v>
      </c>
      <c r="C26" s="545">
        <v>1315455</v>
      </c>
      <c r="D26" s="545" t="s">
        <v>1060</v>
      </c>
      <c r="E26" s="546" t="s">
        <v>1056</v>
      </c>
      <c r="F26" s="544">
        <v>12</v>
      </c>
      <c r="G26" s="545" t="s">
        <v>192</v>
      </c>
      <c r="H26" s="544">
        <v>540</v>
      </c>
      <c r="I26" s="548">
        <v>1080</v>
      </c>
      <c r="J26" s="544">
        <v>432</v>
      </c>
    </row>
    <row r="27" spans="1:10" ht="30.75" thickBot="1">
      <c r="A27" s="543">
        <v>1100018397</v>
      </c>
      <c r="B27" s="545">
        <v>260</v>
      </c>
      <c r="C27" s="545">
        <v>1311032</v>
      </c>
      <c r="D27" s="545" t="s">
        <v>1061</v>
      </c>
      <c r="E27" s="546" t="s">
        <v>1062</v>
      </c>
      <c r="F27" s="544">
        <v>1</v>
      </c>
      <c r="G27" s="545" t="s">
        <v>192</v>
      </c>
      <c r="H27" s="544">
        <v>24960</v>
      </c>
      <c r="I27" s="548">
        <v>49920</v>
      </c>
      <c r="J27" s="544">
        <v>19968</v>
      </c>
    </row>
    <row r="28" spans="1:10" ht="30.75" thickBot="1">
      <c r="A28" s="543">
        <v>1100018397</v>
      </c>
      <c r="B28" s="545">
        <v>270</v>
      </c>
      <c r="C28" s="545">
        <v>1310880</v>
      </c>
      <c r="D28" s="545" t="s">
        <v>1063</v>
      </c>
      <c r="E28" s="546" t="s">
        <v>1064</v>
      </c>
      <c r="F28" s="544">
        <v>6</v>
      </c>
      <c r="G28" s="545" t="s">
        <v>192</v>
      </c>
      <c r="H28" s="547">
        <v>488</v>
      </c>
      <c r="I28" s="544">
        <v>1220</v>
      </c>
      <c r="J28" s="544">
        <v>488</v>
      </c>
    </row>
    <row r="29" spans="1:10" ht="30.75" thickBot="1">
      <c r="A29" s="543">
        <v>1100018397</v>
      </c>
      <c r="B29" s="545">
        <v>280</v>
      </c>
      <c r="C29" s="545">
        <v>1310882</v>
      </c>
      <c r="D29" s="545" t="s">
        <v>1065</v>
      </c>
      <c r="E29" s="546" t="s">
        <v>1064</v>
      </c>
      <c r="F29" s="544">
        <v>6</v>
      </c>
      <c r="G29" s="545" t="s">
        <v>192</v>
      </c>
      <c r="H29" s="544">
        <v>910</v>
      </c>
      <c r="I29" s="544">
        <v>1820</v>
      </c>
      <c r="J29" s="544">
        <v>728</v>
      </c>
    </row>
    <row r="30" spans="1:10" ht="30.75" thickBot="1">
      <c r="A30" s="543">
        <v>1100018397</v>
      </c>
      <c r="B30" s="545">
        <v>290</v>
      </c>
      <c r="C30" s="545">
        <v>1310885</v>
      </c>
      <c r="D30" s="545" t="s">
        <v>1066</v>
      </c>
      <c r="E30" s="546" t="s">
        <v>1064</v>
      </c>
      <c r="F30" s="544">
        <v>6</v>
      </c>
      <c r="G30" s="545" t="s">
        <v>192</v>
      </c>
      <c r="H30" s="547">
        <v>744</v>
      </c>
      <c r="I30" s="544">
        <v>1860</v>
      </c>
      <c r="J30" s="544">
        <v>744</v>
      </c>
    </row>
    <row r="31" spans="1:10" ht="45.75" thickBot="1">
      <c r="A31" s="543">
        <v>1100018397</v>
      </c>
      <c r="B31" s="545">
        <v>300</v>
      </c>
      <c r="C31" s="545">
        <v>1310776</v>
      </c>
      <c r="D31" s="545" t="s">
        <v>1067</v>
      </c>
      <c r="E31" s="546" t="s">
        <v>1068</v>
      </c>
      <c r="F31" s="544">
        <v>6</v>
      </c>
      <c r="G31" s="545" t="s">
        <v>192</v>
      </c>
      <c r="H31" s="544">
        <v>470</v>
      </c>
      <c r="I31" s="544">
        <v>1220</v>
      </c>
      <c r="J31" s="544">
        <v>488</v>
      </c>
    </row>
    <row r="32" spans="1:10" ht="45.75" thickBot="1">
      <c r="A32" s="543">
        <v>1100018397</v>
      </c>
      <c r="B32" s="545">
        <v>310</v>
      </c>
      <c r="C32" s="545">
        <v>1310777</v>
      </c>
      <c r="D32" s="545" t="s">
        <v>1069</v>
      </c>
      <c r="E32" s="546" t="s">
        <v>1068</v>
      </c>
      <c r="F32" s="544">
        <v>2</v>
      </c>
      <c r="G32" s="545" t="s">
        <v>192</v>
      </c>
      <c r="H32" s="544">
        <v>14085</v>
      </c>
      <c r="I32" s="544">
        <v>30810</v>
      </c>
      <c r="J32" s="544">
        <v>12324</v>
      </c>
    </row>
    <row r="33" spans="1:10" ht="45.75" thickBot="1">
      <c r="A33" s="543">
        <v>1100018397</v>
      </c>
      <c r="B33" s="545">
        <v>320</v>
      </c>
      <c r="C33" s="545">
        <v>1310778</v>
      </c>
      <c r="D33" s="545" t="s">
        <v>1070</v>
      </c>
      <c r="E33" s="546" t="s">
        <v>1068</v>
      </c>
      <c r="F33" s="544">
        <v>6</v>
      </c>
      <c r="G33" s="545" t="s">
        <v>192</v>
      </c>
      <c r="H33" s="544">
        <v>910</v>
      </c>
      <c r="I33" s="544">
        <v>1730</v>
      </c>
      <c r="J33" s="544">
        <v>692</v>
      </c>
    </row>
    <row r="34" spans="1:10" ht="45.75" thickBot="1">
      <c r="A34" s="543">
        <v>1100018397</v>
      </c>
      <c r="B34" s="545">
        <v>330</v>
      </c>
      <c r="C34" s="545">
        <v>1310784</v>
      </c>
      <c r="D34" s="545" t="s">
        <v>1071</v>
      </c>
      <c r="E34" s="546" t="s">
        <v>1068</v>
      </c>
      <c r="F34" s="544">
        <v>1</v>
      </c>
      <c r="G34" s="545" t="s">
        <v>192</v>
      </c>
      <c r="H34" s="544">
        <v>11580.4</v>
      </c>
      <c r="I34" s="544">
        <v>22940</v>
      </c>
      <c r="J34" s="544">
        <v>9176</v>
      </c>
    </row>
    <row r="35" spans="1:10" ht="45.75" thickBot="1">
      <c r="A35" s="543">
        <v>1100018397</v>
      </c>
      <c r="B35" s="545">
        <v>340</v>
      </c>
      <c r="C35" s="545">
        <v>1310763</v>
      </c>
      <c r="D35" s="545" t="s">
        <v>1072</v>
      </c>
      <c r="E35" s="546" t="s">
        <v>1073</v>
      </c>
      <c r="F35" s="544">
        <v>6</v>
      </c>
      <c r="G35" s="545" t="s">
        <v>192</v>
      </c>
      <c r="H35" s="544">
        <v>457.6</v>
      </c>
      <c r="I35" s="544">
        <v>910</v>
      </c>
      <c r="J35" s="544">
        <v>364</v>
      </c>
    </row>
    <row r="36" spans="1:10" ht="45.75" thickBot="1">
      <c r="A36" s="543">
        <v>1100018397</v>
      </c>
      <c r="B36" s="545">
        <v>350</v>
      </c>
      <c r="C36" s="545">
        <v>1310765</v>
      </c>
      <c r="D36" s="545" t="s">
        <v>1074</v>
      </c>
      <c r="E36" s="546" t="s">
        <v>1073</v>
      </c>
      <c r="F36" s="544">
        <v>6</v>
      </c>
      <c r="G36" s="545" t="s">
        <v>192</v>
      </c>
      <c r="H36" s="544">
        <v>615</v>
      </c>
      <c r="I36" s="544">
        <v>1550</v>
      </c>
      <c r="J36" s="544">
        <v>620</v>
      </c>
    </row>
    <row r="37" spans="1:10" ht="45.75" thickBot="1">
      <c r="A37" s="543">
        <v>1100018397</v>
      </c>
      <c r="B37" s="545">
        <v>360</v>
      </c>
      <c r="C37" s="545">
        <v>1310769</v>
      </c>
      <c r="D37" s="545" t="s">
        <v>1075</v>
      </c>
      <c r="E37" s="546" t="s">
        <v>1073</v>
      </c>
      <c r="F37" s="544">
        <v>1</v>
      </c>
      <c r="G37" s="545" t="s">
        <v>192</v>
      </c>
      <c r="H37" s="544">
        <v>7635</v>
      </c>
      <c r="I37" s="544">
        <v>15810</v>
      </c>
      <c r="J37" s="544">
        <v>6324</v>
      </c>
    </row>
    <row r="38" spans="1:10" ht="45.75" thickBot="1">
      <c r="A38" s="543">
        <v>1100018397</v>
      </c>
      <c r="B38" s="545">
        <v>370</v>
      </c>
      <c r="C38" s="545">
        <v>1310766</v>
      </c>
      <c r="D38" s="545" t="s">
        <v>1076</v>
      </c>
      <c r="E38" s="546" t="s">
        <v>1073</v>
      </c>
      <c r="F38" s="544">
        <v>12</v>
      </c>
      <c r="G38" s="545" t="s">
        <v>192</v>
      </c>
      <c r="H38" s="544">
        <v>455</v>
      </c>
      <c r="I38" s="544">
        <v>860</v>
      </c>
      <c r="J38" s="544">
        <v>344</v>
      </c>
    </row>
    <row r="39" spans="1:10" ht="30.75" thickBot="1">
      <c r="A39" s="543">
        <v>1100018397</v>
      </c>
      <c r="B39" s="545">
        <v>380</v>
      </c>
      <c r="C39" s="545">
        <v>1310315</v>
      </c>
      <c r="D39" s="545" t="s">
        <v>1077</v>
      </c>
      <c r="E39" s="546" t="s">
        <v>1078</v>
      </c>
      <c r="F39" s="544">
        <v>1</v>
      </c>
      <c r="G39" s="545" t="s">
        <v>192</v>
      </c>
      <c r="H39" s="544">
        <v>54230</v>
      </c>
      <c r="I39" s="544">
        <v>120510</v>
      </c>
      <c r="J39" s="544">
        <v>48204</v>
      </c>
    </row>
    <row r="40" spans="1:10" ht="30.75" thickBot="1">
      <c r="A40" s="543">
        <v>1100018397</v>
      </c>
      <c r="B40" s="545">
        <v>390</v>
      </c>
      <c r="C40" s="545">
        <v>1310316</v>
      </c>
      <c r="D40" s="545" t="s">
        <v>1079</v>
      </c>
      <c r="E40" s="546" t="s">
        <v>1078</v>
      </c>
      <c r="F40" s="544">
        <v>1</v>
      </c>
      <c r="G40" s="545" t="s">
        <v>192</v>
      </c>
      <c r="H40" s="544">
        <v>50700</v>
      </c>
      <c r="I40" s="544">
        <v>112670</v>
      </c>
      <c r="J40" s="544">
        <v>45068</v>
      </c>
    </row>
    <row r="41" spans="1:10" ht="30.75" thickBot="1">
      <c r="A41" s="543">
        <v>1100018397</v>
      </c>
      <c r="B41" s="545">
        <v>400</v>
      </c>
      <c r="C41" s="545">
        <v>1310317</v>
      </c>
      <c r="D41" s="545" t="s">
        <v>1080</v>
      </c>
      <c r="E41" s="546" t="s">
        <v>1078</v>
      </c>
      <c r="F41" s="544">
        <v>1</v>
      </c>
      <c r="G41" s="545" t="s">
        <v>192</v>
      </c>
      <c r="H41" s="544">
        <v>42650</v>
      </c>
      <c r="I41" s="544">
        <v>94780</v>
      </c>
      <c r="J41" s="544">
        <v>37912</v>
      </c>
    </row>
    <row r="42" spans="1:10" ht="30.75" thickBot="1">
      <c r="A42" s="543">
        <v>1100018397</v>
      </c>
      <c r="B42" s="545">
        <v>410</v>
      </c>
      <c r="C42" s="545">
        <v>1310319</v>
      </c>
      <c r="D42" s="545" t="s">
        <v>1081</v>
      </c>
      <c r="E42" s="546" t="s">
        <v>1078</v>
      </c>
      <c r="F42" s="544">
        <v>1</v>
      </c>
      <c r="G42" s="545" t="s">
        <v>192</v>
      </c>
      <c r="H42" s="544">
        <v>51540</v>
      </c>
      <c r="I42" s="544">
        <v>114530</v>
      </c>
      <c r="J42" s="544">
        <v>45812</v>
      </c>
    </row>
    <row r="43" spans="1:10" ht="30.75" thickBot="1">
      <c r="A43" s="543">
        <v>1100018397</v>
      </c>
      <c r="B43" s="545">
        <v>420</v>
      </c>
      <c r="C43" s="545">
        <v>1310320</v>
      </c>
      <c r="D43" s="545" t="s">
        <v>1082</v>
      </c>
      <c r="E43" s="546" t="s">
        <v>1078</v>
      </c>
      <c r="F43" s="544">
        <v>1</v>
      </c>
      <c r="G43" s="545" t="s">
        <v>192</v>
      </c>
      <c r="H43" s="544">
        <v>48835</v>
      </c>
      <c r="I43" s="544">
        <v>108520</v>
      </c>
      <c r="J43" s="544">
        <v>43408</v>
      </c>
    </row>
    <row r="44" spans="1:10" ht="45.75" thickBot="1">
      <c r="A44" s="543">
        <v>1100018367</v>
      </c>
      <c r="B44" s="545">
        <v>10</v>
      </c>
      <c r="C44" s="545">
        <v>1310826</v>
      </c>
      <c r="D44" s="545" t="s">
        <v>1083</v>
      </c>
      <c r="E44" s="546" t="s">
        <v>1084</v>
      </c>
      <c r="F44" s="544">
        <v>6</v>
      </c>
      <c r="G44" s="545" t="s">
        <v>192</v>
      </c>
      <c r="H44" s="547">
        <v>436</v>
      </c>
      <c r="I44" s="544">
        <v>1090</v>
      </c>
      <c r="J44" s="544">
        <v>436</v>
      </c>
    </row>
    <row r="45" spans="1:10" ht="45.75" thickBot="1">
      <c r="A45" s="543">
        <v>1100018367</v>
      </c>
      <c r="B45" s="545">
        <v>20</v>
      </c>
      <c r="C45" s="545">
        <v>1310827</v>
      </c>
      <c r="D45" s="545" t="s">
        <v>1085</v>
      </c>
      <c r="E45" s="546" t="s">
        <v>1084</v>
      </c>
      <c r="F45" s="544">
        <v>12</v>
      </c>
      <c r="G45" s="545" t="s">
        <v>192</v>
      </c>
      <c r="H45" s="547">
        <v>512</v>
      </c>
      <c r="I45" s="544">
        <v>1280</v>
      </c>
      <c r="J45" s="544">
        <v>512</v>
      </c>
    </row>
    <row r="46" spans="1:10" ht="45.75" thickBot="1">
      <c r="A46" s="543">
        <v>1100018367</v>
      </c>
      <c r="B46" s="545">
        <v>30</v>
      </c>
      <c r="C46" s="545">
        <v>1310828</v>
      </c>
      <c r="D46" s="545" t="s">
        <v>1086</v>
      </c>
      <c r="E46" s="546" t="s">
        <v>1084</v>
      </c>
      <c r="F46" s="544">
        <v>1</v>
      </c>
      <c r="G46" s="545" t="s">
        <v>192</v>
      </c>
      <c r="H46" s="547">
        <v>13236</v>
      </c>
      <c r="I46" s="544">
        <v>33090</v>
      </c>
      <c r="J46" s="544">
        <v>13236</v>
      </c>
    </row>
    <row r="47" spans="1:10" ht="45.75" thickBot="1">
      <c r="A47" s="543">
        <v>1100018367</v>
      </c>
      <c r="B47" s="545">
        <v>40</v>
      </c>
      <c r="C47" s="545">
        <v>1310829</v>
      </c>
      <c r="D47" s="545" t="s">
        <v>1087</v>
      </c>
      <c r="E47" s="546" t="s">
        <v>1084</v>
      </c>
      <c r="F47" s="544">
        <v>12</v>
      </c>
      <c r="G47" s="545" t="s">
        <v>192</v>
      </c>
      <c r="H47" s="547">
        <v>744</v>
      </c>
      <c r="I47" s="544">
        <v>1860</v>
      </c>
      <c r="J47" s="544">
        <v>744</v>
      </c>
    </row>
    <row r="48" spans="1:10" ht="45.75" thickBot="1">
      <c r="A48" s="543">
        <v>1100018367</v>
      </c>
      <c r="B48" s="545">
        <v>50</v>
      </c>
      <c r="C48" s="545">
        <v>1310830</v>
      </c>
      <c r="D48" s="545" t="s">
        <v>1088</v>
      </c>
      <c r="E48" s="546" t="s">
        <v>1084</v>
      </c>
      <c r="F48" s="544">
        <v>1</v>
      </c>
      <c r="G48" s="545" t="s">
        <v>192</v>
      </c>
      <c r="H48" s="547">
        <v>7856</v>
      </c>
      <c r="I48" s="544">
        <v>19640</v>
      </c>
      <c r="J48" s="544">
        <v>7856</v>
      </c>
    </row>
    <row r="49" spans="1:10" ht="45.75" thickBot="1">
      <c r="A49" s="543">
        <v>1100018367</v>
      </c>
      <c r="B49" s="545">
        <v>60</v>
      </c>
      <c r="C49" s="545">
        <v>1310836</v>
      </c>
      <c r="D49" s="545" t="s">
        <v>1089</v>
      </c>
      <c r="E49" s="546" t="s">
        <v>1084</v>
      </c>
      <c r="F49" s="544">
        <v>6</v>
      </c>
      <c r="G49" s="545" t="s">
        <v>192</v>
      </c>
      <c r="H49" s="544">
        <v>785</v>
      </c>
      <c r="I49" s="544">
        <v>1740</v>
      </c>
      <c r="J49" s="544">
        <v>696</v>
      </c>
    </row>
    <row r="50" spans="1:10" ht="45.75" thickBot="1">
      <c r="A50" s="543">
        <v>1100018367</v>
      </c>
      <c r="B50" s="545">
        <v>70</v>
      </c>
      <c r="C50" s="545">
        <v>1310831</v>
      </c>
      <c r="D50" s="545" t="s">
        <v>1090</v>
      </c>
      <c r="E50" s="546" t="s">
        <v>1084</v>
      </c>
      <c r="F50" s="544">
        <v>6</v>
      </c>
      <c r="G50" s="545" t="s">
        <v>192</v>
      </c>
      <c r="H50" s="544">
        <v>390</v>
      </c>
      <c r="I50" s="544">
        <v>870</v>
      </c>
      <c r="J50" s="544">
        <v>348</v>
      </c>
    </row>
    <row r="51" spans="1:10" ht="30.75" thickBot="1">
      <c r="A51" s="543">
        <v>1100018367</v>
      </c>
      <c r="B51" s="545">
        <v>80</v>
      </c>
      <c r="C51" s="545">
        <v>1310787</v>
      </c>
      <c r="D51" s="545" t="s">
        <v>1091</v>
      </c>
      <c r="E51" s="546" t="s">
        <v>1092</v>
      </c>
      <c r="F51" s="544">
        <v>6</v>
      </c>
      <c r="G51" s="545" t="s">
        <v>192</v>
      </c>
      <c r="H51" s="547">
        <v>432</v>
      </c>
      <c r="I51" s="544">
        <v>1080</v>
      </c>
      <c r="J51" s="544">
        <v>432</v>
      </c>
    </row>
    <row r="52" spans="1:10" ht="30.75" thickBot="1">
      <c r="A52" s="543">
        <v>1100018367</v>
      </c>
      <c r="B52" s="545">
        <v>90</v>
      </c>
      <c r="C52" s="545">
        <v>1310792</v>
      </c>
      <c r="D52" s="545" t="s">
        <v>1093</v>
      </c>
      <c r="E52" s="546" t="s">
        <v>1092</v>
      </c>
      <c r="F52" s="544">
        <v>1</v>
      </c>
      <c r="G52" s="545" t="s">
        <v>192</v>
      </c>
      <c r="H52" s="547">
        <v>8184</v>
      </c>
      <c r="I52" s="544">
        <v>20460</v>
      </c>
      <c r="J52" s="544">
        <v>8184</v>
      </c>
    </row>
    <row r="53" spans="1:10" ht="30.75" thickBot="1">
      <c r="A53" s="543">
        <v>1100018367</v>
      </c>
      <c r="B53" s="545">
        <v>100</v>
      </c>
      <c r="C53" s="545">
        <v>1310794</v>
      </c>
      <c r="D53" s="545" t="s">
        <v>1094</v>
      </c>
      <c r="E53" s="546" t="s">
        <v>1092</v>
      </c>
      <c r="F53" s="544">
        <v>12</v>
      </c>
      <c r="G53" s="545" t="s">
        <v>192</v>
      </c>
      <c r="H53" s="547">
        <v>480</v>
      </c>
      <c r="I53" s="544">
        <v>1200</v>
      </c>
      <c r="J53" s="544">
        <v>480</v>
      </c>
    </row>
    <row r="54" spans="1:10" ht="30.75" thickBot="1">
      <c r="A54" s="543">
        <v>1100018367</v>
      </c>
      <c r="B54" s="545">
        <v>110</v>
      </c>
      <c r="C54" s="545">
        <v>1310788</v>
      </c>
      <c r="D54" s="545" t="s">
        <v>1095</v>
      </c>
      <c r="E54" s="546" t="s">
        <v>1092</v>
      </c>
      <c r="F54" s="544">
        <v>6</v>
      </c>
      <c r="G54" s="545" t="s">
        <v>192</v>
      </c>
      <c r="H54" s="547">
        <v>328</v>
      </c>
      <c r="I54" s="544">
        <v>820</v>
      </c>
      <c r="J54" s="544">
        <v>328</v>
      </c>
    </row>
    <row r="55" spans="1:10" ht="30.75" thickBot="1">
      <c r="A55" s="543">
        <v>1100018367</v>
      </c>
      <c r="B55" s="545">
        <v>120</v>
      </c>
      <c r="C55" s="545">
        <v>1310786</v>
      </c>
      <c r="D55" s="545" t="s">
        <v>1096</v>
      </c>
      <c r="E55" s="546" t="s">
        <v>1092</v>
      </c>
      <c r="F55" s="544">
        <v>6</v>
      </c>
      <c r="G55" s="545" t="s">
        <v>192</v>
      </c>
      <c r="H55" s="547">
        <v>384</v>
      </c>
      <c r="I55" s="544">
        <v>960</v>
      </c>
      <c r="J55" s="544">
        <v>384</v>
      </c>
    </row>
    <row r="56" spans="1:10" ht="30.75" thickBot="1">
      <c r="A56" s="543">
        <v>1100018367</v>
      </c>
      <c r="B56" s="545">
        <v>130</v>
      </c>
      <c r="C56" s="545">
        <v>1315450</v>
      </c>
      <c r="D56" s="545" t="s">
        <v>1097</v>
      </c>
      <c r="E56" s="546" t="s">
        <v>1098</v>
      </c>
      <c r="F56" s="544">
        <v>2</v>
      </c>
      <c r="G56" s="545" t="s">
        <v>192</v>
      </c>
      <c r="H56" s="547">
        <v>5504</v>
      </c>
      <c r="I56" s="544">
        <v>13760</v>
      </c>
      <c r="J56" s="544">
        <v>5504</v>
      </c>
    </row>
    <row r="57" spans="1:10" ht="30.75" thickBot="1">
      <c r="A57" s="543">
        <v>1100018367</v>
      </c>
      <c r="B57" s="545">
        <v>140</v>
      </c>
      <c r="C57" s="545">
        <v>1310957</v>
      </c>
      <c r="D57" s="545" t="s">
        <v>1099</v>
      </c>
      <c r="E57" s="546" t="s">
        <v>1100</v>
      </c>
      <c r="F57" s="544">
        <v>6</v>
      </c>
      <c r="G57" s="545" t="s">
        <v>192</v>
      </c>
      <c r="H57" s="544">
        <v>585</v>
      </c>
      <c r="I57" s="544">
        <v>1300</v>
      </c>
      <c r="J57" s="544">
        <v>520</v>
      </c>
    </row>
    <row r="58" spans="1:10" ht="30.75" thickBot="1">
      <c r="A58" s="543">
        <v>1100018367</v>
      </c>
      <c r="B58" s="545">
        <v>150</v>
      </c>
      <c r="C58" s="545">
        <v>1310960</v>
      </c>
      <c r="D58" s="545" t="s">
        <v>1101</v>
      </c>
      <c r="E58" s="546" t="s">
        <v>1100</v>
      </c>
      <c r="F58" s="544">
        <v>6</v>
      </c>
      <c r="G58" s="545" t="s">
        <v>192</v>
      </c>
      <c r="H58" s="544">
        <v>595</v>
      </c>
      <c r="I58" s="544">
        <v>1320</v>
      </c>
      <c r="J58" s="544">
        <v>528</v>
      </c>
    </row>
    <row r="59" spans="1:10" ht="30.75" thickBot="1">
      <c r="A59" s="543">
        <v>1100018367</v>
      </c>
      <c r="B59" s="545">
        <v>160</v>
      </c>
      <c r="C59" s="545">
        <v>1310959</v>
      </c>
      <c r="D59" s="545" t="s">
        <v>1102</v>
      </c>
      <c r="E59" s="546" t="s">
        <v>1100</v>
      </c>
      <c r="F59" s="544">
        <v>6</v>
      </c>
      <c r="G59" s="545" t="s">
        <v>192</v>
      </c>
      <c r="H59" s="544">
        <v>725</v>
      </c>
      <c r="I59" s="544">
        <v>1610</v>
      </c>
      <c r="J59" s="544">
        <v>644</v>
      </c>
    </row>
    <row r="60" spans="1:10" ht="30.75" thickBot="1">
      <c r="A60" s="543">
        <v>1100018367</v>
      </c>
      <c r="B60" s="545">
        <v>170</v>
      </c>
      <c r="C60" s="545">
        <v>1316841</v>
      </c>
      <c r="D60" s="545" t="s">
        <v>1103</v>
      </c>
      <c r="E60" s="546" t="s">
        <v>1100</v>
      </c>
      <c r="F60" s="544">
        <v>1</v>
      </c>
      <c r="G60" s="545" t="s">
        <v>192</v>
      </c>
      <c r="H60" s="544">
        <v>18160</v>
      </c>
      <c r="I60" s="544">
        <v>40360</v>
      </c>
      <c r="J60" s="544">
        <v>16144</v>
      </c>
    </row>
    <row r="61" spans="1:10" ht="30.75" thickBot="1">
      <c r="A61" s="543">
        <v>1100018367</v>
      </c>
      <c r="B61" s="545">
        <v>180</v>
      </c>
      <c r="C61" s="545">
        <v>1316842</v>
      </c>
      <c r="D61" s="545" t="s">
        <v>1104</v>
      </c>
      <c r="E61" s="546" t="s">
        <v>1100</v>
      </c>
      <c r="F61" s="544">
        <v>2</v>
      </c>
      <c r="G61" s="545" t="s">
        <v>192</v>
      </c>
      <c r="H61" s="544">
        <v>7165</v>
      </c>
      <c r="I61" s="544">
        <v>15920</v>
      </c>
      <c r="J61" s="544">
        <v>6368</v>
      </c>
    </row>
    <row r="62" spans="1:10" ht="30.75" thickBot="1">
      <c r="A62" s="543">
        <v>1100018367</v>
      </c>
      <c r="B62" s="545">
        <v>190</v>
      </c>
      <c r="C62" s="545">
        <v>1316843</v>
      </c>
      <c r="D62" s="545" t="s">
        <v>1105</v>
      </c>
      <c r="E62" s="546" t="s">
        <v>1100</v>
      </c>
      <c r="F62" s="544">
        <v>1</v>
      </c>
      <c r="G62" s="545" t="s">
        <v>192</v>
      </c>
      <c r="H62" s="547">
        <v>6444</v>
      </c>
      <c r="I62" s="544">
        <v>16110</v>
      </c>
      <c r="J62" s="544">
        <v>6444</v>
      </c>
    </row>
    <row r="63" spans="1:10" ht="45.75" thickBot="1">
      <c r="A63" s="543">
        <v>1100018367</v>
      </c>
      <c r="B63" s="545">
        <v>200</v>
      </c>
      <c r="C63" s="545">
        <v>1311001</v>
      </c>
      <c r="D63" s="545" t="s">
        <v>1106</v>
      </c>
      <c r="E63" s="546" t="s">
        <v>1107</v>
      </c>
      <c r="F63" s="544">
        <v>2</v>
      </c>
      <c r="G63" s="545" t="s">
        <v>192</v>
      </c>
      <c r="H63" s="544">
        <v>9200</v>
      </c>
      <c r="I63" s="544">
        <v>18400</v>
      </c>
      <c r="J63" s="544">
        <v>7360</v>
      </c>
    </row>
    <row r="64" spans="1:10" ht="45.75" thickBot="1">
      <c r="A64" s="543">
        <v>1100018367</v>
      </c>
      <c r="B64" s="545">
        <v>210</v>
      </c>
      <c r="C64" s="545">
        <v>1311002</v>
      </c>
      <c r="D64" s="545" t="s">
        <v>1108</v>
      </c>
      <c r="E64" s="546" t="s">
        <v>1107</v>
      </c>
      <c r="F64" s="544">
        <v>2</v>
      </c>
      <c r="G64" s="545" t="s">
        <v>192</v>
      </c>
      <c r="H64" s="544">
        <v>9200</v>
      </c>
      <c r="I64" s="544">
        <v>18400</v>
      </c>
      <c r="J64" s="544">
        <v>7360</v>
      </c>
    </row>
    <row r="65" spans="1:10" ht="45.75" thickBot="1">
      <c r="A65" s="543">
        <v>1100018367</v>
      </c>
      <c r="B65" s="545">
        <v>220</v>
      </c>
      <c r="C65" s="545">
        <v>1311007</v>
      </c>
      <c r="D65" s="545" t="s">
        <v>1109</v>
      </c>
      <c r="E65" s="546" t="s">
        <v>1107</v>
      </c>
      <c r="F65" s="544">
        <v>12</v>
      </c>
      <c r="G65" s="545" t="s">
        <v>192</v>
      </c>
      <c r="H65" s="544">
        <v>860</v>
      </c>
      <c r="I65" s="544">
        <v>1820</v>
      </c>
      <c r="J65" s="544">
        <v>728</v>
      </c>
    </row>
    <row r="66" spans="1:10" ht="45.75" thickBot="1">
      <c r="A66" s="543">
        <v>1100018367</v>
      </c>
      <c r="B66" s="545">
        <v>230</v>
      </c>
      <c r="C66" s="545">
        <v>1311008</v>
      </c>
      <c r="D66" s="545" t="s">
        <v>1110</v>
      </c>
      <c r="E66" s="546" t="s">
        <v>1107</v>
      </c>
      <c r="F66" s="544">
        <v>12</v>
      </c>
      <c r="G66" s="545" t="s">
        <v>192</v>
      </c>
      <c r="H66" s="544">
        <v>860</v>
      </c>
      <c r="I66" s="544">
        <v>1820</v>
      </c>
      <c r="J66" s="544">
        <v>728</v>
      </c>
    </row>
    <row r="67" spans="1:10" ht="45.75" thickBot="1">
      <c r="A67" s="543">
        <v>1100018367</v>
      </c>
      <c r="B67" s="545">
        <v>240</v>
      </c>
      <c r="C67" s="545">
        <v>1310999</v>
      </c>
      <c r="D67" s="545" t="s">
        <v>1111</v>
      </c>
      <c r="E67" s="546" t="s">
        <v>1107</v>
      </c>
      <c r="F67" s="544">
        <v>12</v>
      </c>
      <c r="G67" s="545" t="s">
        <v>192</v>
      </c>
      <c r="H67" s="544">
        <v>820</v>
      </c>
      <c r="I67" s="544">
        <v>1640</v>
      </c>
      <c r="J67" s="544">
        <v>656</v>
      </c>
    </row>
    <row r="68" spans="1:10" ht="45.75" thickBot="1">
      <c r="A68" s="543">
        <v>1100018367</v>
      </c>
      <c r="B68" s="545">
        <v>250</v>
      </c>
      <c r="C68" s="545">
        <v>1311000</v>
      </c>
      <c r="D68" s="545" t="s">
        <v>1112</v>
      </c>
      <c r="E68" s="546" t="s">
        <v>1107</v>
      </c>
      <c r="F68" s="544">
        <v>12</v>
      </c>
      <c r="G68" s="545" t="s">
        <v>192</v>
      </c>
      <c r="H68" s="544">
        <v>820</v>
      </c>
      <c r="I68" s="544">
        <v>1640</v>
      </c>
      <c r="J68" s="544">
        <v>656</v>
      </c>
    </row>
    <row r="69" spans="1:10" ht="45.75" thickBot="1">
      <c r="A69" s="543">
        <v>1100018367</v>
      </c>
      <c r="B69" s="545">
        <v>260</v>
      </c>
      <c r="C69" s="545">
        <v>1310998</v>
      </c>
      <c r="D69" s="545" t="s">
        <v>1113</v>
      </c>
      <c r="E69" s="546" t="s">
        <v>1107</v>
      </c>
      <c r="F69" s="544">
        <v>12</v>
      </c>
      <c r="G69" s="545" t="s">
        <v>192</v>
      </c>
      <c r="H69" s="544">
        <v>550</v>
      </c>
      <c r="I69" s="544">
        <v>1220</v>
      </c>
      <c r="J69" s="544">
        <v>488</v>
      </c>
    </row>
    <row r="70" spans="1:10" ht="45.75" thickBot="1">
      <c r="A70" s="543">
        <v>1100018367</v>
      </c>
      <c r="B70" s="545">
        <v>270</v>
      </c>
      <c r="C70" s="545">
        <v>1311003</v>
      </c>
      <c r="D70" s="545" t="s">
        <v>1114</v>
      </c>
      <c r="E70" s="546" t="s">
        <v>1107</v>
      </c>
      <c r="F70" s="544">
        <v>2</v>
      </c>
      <c r="G70" s="545" t="s">
        <v>192</v>
      </c>
      <c r="H70" s="544">
        <v>7580</v>
      </c>
      <c r="I70" s="544">
        <v>16840</v>
      </c>
      <c r="J70" s="544">
        <v>6736</v>
      </c>
    </row>
    <row r="71" spans="1:10" ht="45.75" thickBot="1">
      <c r="A71" s="543">
        <v>1100018367</v>
      </c>
      <c r="B71" s="545">
        <v>280</v>
      </c>
      <c r="C71" s="545">
        <v>1311004</v>
      </c>
      <c r="D71" s="545" t="s">
        <v>1115</v>
      </c>
      <c r="E71" s="546" t="s">
        <v>1107</v>
      </c>
      <c r="F71" s="544">
        <v>12</v>
      </c>
      <c r="G71" s="545" t="s">
        <v>192</v>
      </c>
      <c r="H71" s="544">
        <v>505</v>
      </c>
      <c r="I71" s="544">
        <v>1120</v>
      </c>
      <c r="J71" s="544">
        <v>448</v>
      </c>
    </row>
    <row r="72" spans="1:10" ht="45.75" thickBot="1">
      <c r="A72" s="543">
        <v>1100018367</v>
      </c>
      <c r="B72" s="545">
        <v>290</v>
      </c>
      <c r="C72" s="545">
        <v>1311011</v>
      </c>
      <c r="D72" s="545" t="s">
        <v>1116</v>
      </c>
      <c r="E72" s="546" t="s">
        <v>1107</v>
      </c>
      <c r="F72" s="544">
        <v>6</v>
      </c>
      <c r="G72" s="545" t="s">
        <v>192</v>
      </c>
      <c r="H72" s="544">
        <v>775</v>
      </c>
      <c r="I72" s="544">
        <v>1720</v>
      </c>
      <c r="J72" s="544">
        <v>688</v>
      </c>
    </row>
    <row r="73" spans="1:10" ht="45.75" thickBot="1">
      <c r="A73" s="543">
        <v>1100018367</v>
      </c>
      <c r="B73" s="545">
        <v>300</v>
      </c>
      <c r="C73" s="545">
        <v>1311005</v>
      </c>
      <c r="D73" s="545" t="s">
        <v>1117</v>
      </c>
      <c r="E73" s="546" t="s">
        <v>1107</v>
      </c>
      <c r="F73" s="544">
        <v>2</v>
      </c>
      <c r="G73" s="545" t="s">
        <v>192</v>
      </c>
      <c r="H73" s="544">
        <v>495</v>
      </c>
      <c r="I73" s="544">
        <v>1100</v>
      </c>
      <c r="J73" s="544">
        <v>440</v>
      </c>
    </row>
    <row r="74" spans="1:10" ht="45.75" thickBot="1">
      <c r="A74" s="543">
        <v>1100018367</v>
      </c>
      <c r="B74" s="545">
        <v>310</v>
      </c>
      <c r="C74" s="545">
        <v>1311006</v>
      </c>
      <c r="D74" s="545" t="s">
        <v>1118</v>
      </c>
      <c r="E74" s="546" t="s">
        <v>1107</v>
      </c>
      <c r="F74" s="544">
        <v>2</v>
      </c>
      <c r="G74" s="545" t="s">
        <v>192</v>
      </c>
      <c r="H74" s="544">
        <v>495</v>
      </c>
      <c r="I74" s="544">
        <v>1100</v>
      </c>
      <c r="J74" s="544">
        <v>440</v>
      </c>
    </row>
    <row r="75" spans="1:10" ht="60.75" thickBot="1">
      <c r="A75" s="543">
        <v>1100018367</v>
      </c>
      <c r="B75" s="545">
        <v>320</v>
      </c>
      <c r="C75" s="545">
        <v>1310945</v>
      </c>
      <c r="D75" s="545" t="s">
        <v>1119</v>
      </c>
      <c r="E75" s="546" t="s">
        <v>1120</v>
      </c>
      <c r="F75" s="544">
        <v>6</v>
      </c>
      <c r="G75" s="545" t="s">
        <v>192</v>
      </c>
      <c r="H75" s="544">
        <v>660</v>
      </c>
      <c r="I75" s="544">
        <v>1450</v>
      </c>
      <c r="J75" s="544">
        <v>580</v>
      </c>
    </row>
    <row r="76" spans="1:10" ht="45.75" thickBot="1">
      <c r="A76" s="543">
        <v>1100018367</v>
      </c>
      <c r="B76" s="545">
        <v>330</v>
      </c>
      <c r="C76" s="545">
        <v>1316840</v>
      </c>
      <c r="D76" s="545" t="s">
        <v>1121</v>
      </c>
      <c r="E76" s="546" t="s">
        <v>1122</v>
      </c>
      <c r="F76" s="544">
        <v>1</v>
      </c>
      <c r="G76" s="545" t="s">
        <v>192</v>
      </c>
      <c r="H76" s="544">
        <v>8855.6</v>
      </c>
      <c r="I76" s="544">
        <v>21500</v>
      </c>
      <c r="J76" s="544">
        <v>8600</v>
      </c>
    </row>
    <row r="77" spans="1:10" ht="45.75" thickBot="1">
      <c r="A77" s="543">
        <v>1100018367</v>
      </c>
      <c r="B77" s="545">
        <v>340</v>
      </c>
      <c r="C77" s="545">
        <v>1311073</v>
      </c>
      <c r="D77" s="545" t="s">
        <v>1123</v>
      </c>
      <c r="E77" s="546" t="s">
        <v>1122</v>
      </c>
      <c r="F77" s="544">
        <v>6</v>
      </c>
      <c r="G77" s="545" t="s">
        <v>192</v>
      </c>
      <c r="H77" s="544">
        <v>1005</v>
      </c>
      <c r="I77" s="544">
        <v>2230</v>
      </c>
      <c r="J77" s="544">
        <v>892</v>
      </c>
    </row>
    <row r="78" spans="1:10" ht="45.75" thickBot="1">
      <c r="A78" s="543">
        <v>1100018367</v>
      </c>
      <c r="B78" s="545">
        <v>350</v>
      </c>
      <c r="C78" s="545">
        <v>1311071</v>
      </c>
      <c r="D78" s="545" t="s">
        <v>1124</v>
      </c>
      <c r="E78" s="546" t="s">
        <v>1122</v>
      </c>
      <c r="F78" s="544">
        <v>12</v>
      </c>
      <c r="G78" s="545" t="s">
        <v>192</v>
      </c>
      <c r="H78" s="544">
        <v>395</v>
      </c>
      <c r="I78" s="544">
        <v>900</v>
      </c>
      <c r="J78" s="544">
        <v>360</v>
      </c>
    </row>
    <row r="79" spans="1:10" ht="45.75" thickBot="1">
      <c r="A79" s="543">
        <v>1100018367</v>
      </c>
      <c r="B79" s="545">
        <v>360</v>
      </c>
      <c r="C79" s="545">
        <v>1311074</v>
      </c>
      <c r="D79" s="545" t="s">
        <v>1125</v>
      </c>
      <c r="E79" s="546" t="s">
        <v>1122</v>
      </c>
      <c r="F79" s="544">
        <v>12</v>
      </c>
      <c r="G79" s="545" t="s">
        <v>192</v>
      </c>
      <c r="H79" s="544">
        <v>595</v>
      </c>
      <c r="I79" s="544">
        <v>1320</v>
      </c>
      <c r="J79" s="544">
        <v>528</v>
      </c>
    </row>
    <row r="80" spans="1:10" ht="45.75" thickBot="1">
      <c r="A80" s="543">
        <v>1100018367</v>
      </c>
      <c r="B80" s="545">
        <v>370</v>
      </c>
      <c r="C80" s="545">
        <v>1311075</v>
      </c>
      <c r="D80" s="545" t="s">
        <v>1126</v>
      </c>
      <c r="E80" s="546" t="s">
        <v>1122</v>
      </c>
      <c r="F80" s="544">
        <v>12</v>
      </c>
      <c r="G80" s="545" t="s">
        <v>192</v>
      </c>
      <c r="H80" s="544">
        <v>595</v>
      </c>
      <c r="I80" s="544">
        <v>1320</v>
      </c>
      <c r="J80" s="544">
        <v>528</v>
      </c>
    </row>
    <row r="81" spans="1:10" ht="45.75" thickBot="1">
      <c r="A81" s="543">
        <v>1100018367</v>
      </c>
      <c r="B81" s="545">
        <v>380</v>
      </c>
      <c r="C81" s="545">
        <v>1315461</v>
      </c>
      <c r="D81" s="545" t="s">
        <v>1127</v>
      </c>
      <c r="E81" s="546" t="s">
        <v>1122</v>
      </c>
      <c r="F81" s="544">
        <v>2</v>
      </c>
      <c r="G81" s="545" t="s">
        <v>192</v>
      </c>
      <c r="H81" s="544">
        <v>6390</v>
      </c>
      <c r="I81" s="544">
        <v>14200</v>
      </c>
      <c r="J81" s="544">
        <v>5680</v>
      </c>
    </row>
    <row r="82" spans="1:10" ht="45.75" thickBot="1">
      <c r="A82" s="543">
        <v>1100018367</v>
      </c>
      <c r="B82" s="545">
        <v>390</v>
      </c>
      <c r="C82" s="545">
        <v>1311081</v>
      </c>
      <c r="D82" s="545" t="s">
        <v>1128</v>
      </c>
      <c r="E82" s="546" t="s">
        <v>1122</v>
      </c>
      <c r="F82" s="544">
        <v>1</v>
      </c>
      <c r="G82" s="545" t="s">
        <v>192</v>
      </c>
      <c r="H82" s="544">
        <v>12840</v>
      </c>
      <c r="I82" s="544">
        <v>28530</v>
      </c>
      <c r="J82" s="544">
        <v>11412</v>
      </c>
    </row>
    <row r="83" spans="1:10" ht="45.75" thickBot="1">
      <c r="A83" s="543">
        <v>1100018367</v>
      </c>
      <c r="B83" s="545">
        <v>400</v>
      </c>
      <c r="C83" s="545">
        <v>1311084</v>
      </c>
      <c r="D83" s="545" t="s">
        <v>1129</v>
      </c>
      <c r="E83" s="546" t="s">
        <v>1122</v>
      </c>
      <c r="F83" s="544">
        <v>6</v>
      </c>
      <c r="G83" s="545" t="s">
        <v>192</v>
      </c>
      <c r="H83" s="544">
        <v>550</v>
      </c>
      <c r="I83" s="544">
        <v>1220</v>
      </c>
      <c r="J83" s="544">
        <v>488</v>
      </c>
    </row>
    <row r="84" spans="1:10" ht="45.75" thickBot="1">
      <c r="A84" s="543">
        <v>1100018367</v>
      </c>
      <c r="B84" s="545">
        <v>410</v>
      </c>
      <c r="C84" s="545">
        <v>1311085</v>
      </c>
      <c r="D84" s="545" t="s">
        <v>1130</v>
      </c>
      <c r="E84" s="546" t="s">
        <v>1122</v>
      </c>
      <c r="F84" s="544">
        <v>6</v>
      </c>
      <c r="G84" s="545" t="s">
        <v>192</v>
      </c>
      <c r="H84" s="544">
        <v>550</v>
      </c>
      <c r="I84" s="544">
        <v>1220</v>
      </c>
      <c r="J84" s="544">
        <v>488</v>
      </c>
    </row>
    <row r="85" spans="1:10" ht="45.75" thickBot="1">
      <c r="A85" s="543">
        <v>1100018367</v>
      </c>
      <c r="B85" s="545">
        <v>420</v>
      </c>
      <c r="C85" s="545">
        <v>1311072</v>
      </c>
      <c r="D85" s="545" t="s">
        <v>1131</v>
      </c>
      <c r="E85" s="546" t="s">
        <v>1122</v>
      </c>
      <c r="F85" s="544">
        <v>1</v>
      </c>
      <c r="G85" s="545" t="s">
        <v>192</v>
      </c>
      <c r="H85" s="544">
        <v>18610</v>
      </c>
      <c r="I85" s="544">
        <v>41360</v>
      </c>
      <c r="J85" s="544">
        <v>16544</v>
      </c>
    </row>
    <row r="86" spans="1:10" ht="45.75" thickBot="1">
      <c r="A86" s="543">
        <v>1100018367</v>
      </c>
      <c r="B86" s="545">
        <v>430</v>
      </c>
      <c r="C86" s="545">
        <v>1315459</v>
      </c>
      <c r="D86" s="545" t="s">
        <v>1132</v>
      </c>
      <c r="E86" s="546" t="s">
        <v>1122</v>
      </c>
      <c r="F86" s="544">
        <v>1</v>
      </c>
      <c r="G86" s="545" t="s">
        <v>192</v>
      </c>
      <c r="H86" s="544">
        <v>18610</v>
      </c>
      <c r="I86" s="544">
        <v>41360</v>
      </c>
      <c r="J86" s="544">
        <v>16544</v>
      </c>
    </row>
    <row r="87" spans="1:10" ht="45.75" thickBot="1">
      <c r="A87" s="543">
        <v>1100018367</v>
      </c>
      <c r="B87" s="545">
        <v>440</v>
      </c>
      <c r="C87" s="545">
        <v>1315462</v>
      </c>
      <c r="D87" s="545" t="s">
        <v>1133</v>
      </c>
      <c r="E87" s="546" t="s">
        <v>1122</v>
      </c>
      <c r="F87" s="544">
        <v>2</v>
      </c>
      <c r="G87" s="545" t="s">
        <v>192</v>
      </c>
      <c r="H87" s="544">
        <v>7220</v>
      </c>
      <c r="I87" s="544">
        <v>16040</v>
      </c>
      <c r="J87" s="544">
        <v>6416</v>
      </c>
    </row>
    <row r="88" spans="1:10" ht="45.75" thickBot="1">
      <c r="A88" s="543">
        <v>1100018367</v>
      </c>
      <c r="B88" s="545">
        <v>450</v>
      </c>
      <c r="C88" s="545">
        <v>1311076</v>
      </c>
      <c r="D88" s="545" t="s">
        <v>1134</v>
      </c>
      <c r="E88" s="546" t="s">
        <v>1122</v>
      </c>
      <c r="F88" s="544">
        <v>12</v>
      </c>
      <c r="G88" s="545" t="s">
        <v>192</v>
      </c>
      <c r="H88" s="544">
        <v>380</v>
      </c>
      <c r="I88" s="544">
        <v>840</v>
      </c>
      <c r="J88" s="544">
        <v>336</v>
      </c>
    </row>
    <row r="89" spans="1:10" ht="45.75" thickBot="1">
      <c r="A89" s="543">
        <v>1100018367</v>
      </c>
      <c r="B89" s="545">
        <v>460</v>
      </c>
      <c r="C89" s="545">
        <v>1311070</v>
      </c>
      <c r="D89" s="545" t="s">
        <v>1135</v>
      </c>
      <c r="E89" s="546" t="s">
        <v>1122</v>
      </c>
      <c r="F89" s="544">
        <v>6</v>
      </c>
      <c r="G89" s="545" t="s">
        <v>192</v>
      </c>
      <c r="H89" s="544">
        <v>500</v>
      </c>
      <c r="I89" s="544">
        <v>1110</v>
      </c>
      <c r="J89" s="544">
        <v>444</v>
      </c>
    </row>
    <row r="90" spans="1:10" ht="45.75" thickBot="1">
      <c r="A90" s="543">
        <v>1100018367</v>
      </c>
      <c r="B90" s="545">
        <v>470</v>
      </c>
      <c r="C90" s="545">
        <v>1311077</v>
      </c>
      <c r="D90" s="545" t="s">
        <v>1136</v>
      </c>
      <c r="E90" s="546" t="s">
        <v>1122</v>
      </c>
      <c r="F90" s="544">
        <v>2</v>
      </c>
      <c r="G90" s="545" t="s">
        <v>192</v>
      </c>
      <c r="H90" s="544">
        <v>2730</v>
      </c>
      <c r="I90" s="544">
        <v>6070</v>
      </c>
      <c r="J90" s="544">
        <v>2428</v>
      </c>
    </row>
    <row r="91" spans="1:10" ht="45.75" thickBot="1">
      <c r="A91" s="543">
        <v>1100018367</v>
      </c>
      <c r="B91" s="545">
        <v>480</v>
      </c>
      <c r="C91" s="545">
        <v>1311078</v>
      </c>
      <c r="D91" s="545" t="s">
        <v>1137</v>
      </c>
      <c r="E91" s="546" t="s">
        <v>1122</v>
      </c>
      <c r="F91" s="544">
        <v>2</v>
      </c>
      <c r="G91" s="545" t="s">
        <v>192</v>
      </c>
      <c r="H91" s="547">
        <v>2428</v>
      </c>
      <c r="I91" s="544">
        <v>6070</v>
      </c>
      <c r="J91" s="544">
        <v>2428</v>
      </c>
    </row>
    <row r="92" spans="1:10" ht="45.75" thickBot="1">
      <c r="A92" s="543">
        <v>1100018367</v>
      </c>
      <c r="B92" s="545">
        <v>490</v>
      </c>
      <c r="C92" s="545">
        <v>1311083</v>
      </c>
      <c r="D92" s="545" t="s">
        <v>1138</v>
      </c>
      <c r="E92" s="546" t="s">
        <v>1122</v>
      </c>
      <c r="F92" s="544">
        <v>2</v>
      </c>
      <c r="G92" s="545" t="s">
        <v>192</v>
      </c>
      <c r="H92" s="547">
        <v>1144</v>
      </c>
      <c r="I92" s="544">
        <v>2860</v>
      </c>
      <c r="J92" s="544">
        <v>1144</v>
      </c>
    </row>
    <row r="93" spans="1:10" ht="15.75" thickBot="1">
      <c r="A93" s="543"/>
      <c r="B93" s="545"/>
      <c r="C93" s="545"/>
      <c r="D93" s="545"/>
      <c r="E93" s="549" t="s">
        <v>1139</v>
      </c>
      <c r="F93" s="545">
        <f ca="1">SUM(F2:F97)</f>
        <v>582</v>
      </c>
      <c r="G93" s="545"/>
      <c r="H93" s="521">
        <f>SUMPRODUCT(H2:H92, $F$2:$F$92)</f>
        <v>883825</v>
      </c>
      <c r="I93" s="521">
        <f>SUMPRODUCT(I2:I92, $F$2:$F$92)</f>
        <v>1966700</v>
      </c>
      <c r="J93" s="521">
        <f>SUMPRODUCT(J2:J92, $F$2:$F$92)</f>
        <v>786680</v>
      </c>
    </row>
    <row r="94" spans="1:10" ht="15.75" thickBot="1">
      <c r="A94" s="543"/>
      <c r="B94" s="545"/>
      <c r="C94" s="545"/>
      <c r="D94" s="545"/>
      <c r="E94" s="549" t="s">
        <v>1140</v>
      </c>
      <c r="F94" s="545"/>
      <c r="G94" s="550"/>
      <c r="H94" s="551" t="s">
        <v>1141</v>
      </c>
      <c r="I94" s="545"/>
      <c r="J94" s="545"/>
    </row>
    <row r="95" spans="1:10">
      <c r="H95" s="552">
        <f>1-(J93/H93)</f>
        <v>0.10991429298786526</v>
      </c>
    </row>
    <row r="97" spans="1:10">
      <c r="A97" s="553">
        <v>1100018377</v>
      </c>
      <c r="B97" s="553">
        <v>10</v>
      </c>
      <c r="C97" s="553">
        <v>1311219</v>
      </c>
      <c r="D97" s="553" t="s">
        <v>573</v>
      </c>
      <c r="E97" s="553">
        <v>20150922</v>
      </c>
      <c r="F97" s="554">
        <v>1</v>
      </c>
      <c r="G97" s="553" t="s">
        <v>192</v>
      </c>
      <c r="H97" s="554">
        <v>102328</v>
      </c>
      <c r="I97" s="554">
        <v>255820</v>
      </c>
      <c r="J97" s="554">
        <v>102328</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8"/>
  <sheetViews>
    <sheetView topLeftCell="D37" zoomScaleNormal="100" workbookViewId="0">
      <selection activeCell="K37" sqref="K37"/>
    </sheetView>
  </sheetViews>
  <sheetFormatPr defaultRowHeight="12.75"/>
  <cols>
    <col min="1" max="1" width="6.7109375" style="9" customWidth="1"/>
    <col min="2" max="2" width="34.85546875" style="209" customWidth="1"/>
    <col min="3" max="3" width="15.7109375" style="209" customWidth="1"/>
    <col min="4" max="4" width="12.5703125" style="209" customWidth="1"/>
    <col min="5" max="5" width="16" style="9" hidden="1" customWidth="1"/>
    <col min="6" max="6" width="6.140625" style="9" customWidth="1"/>
    <col min="7" max="7" width="12.7109375" style="9" customWidth="1"/>
    <col min="8" max="8" width="21.85546875" style="9" customWidth="1"/>
    <col min="9" max="9" width="19.140625" style="9" customWidth="1"/>
    <col min="10" max="10" width="21.85546875" style="9" customWidth="1"/>
    <col min="11" max="11" width="19.140625" style="9" customWidth="1"/>
    <col min="12" max="12" width="21.85546875" style="9" customWidth="1"/>
    <col min="13" max="13" width="19.140625" style="9" customWidth="1"/>
    <col min="14" max="14" width="17.5703125" style="9" customWidth="1"/>
    <col min="15" max="15" width="18.42578125" style="9" customWidth="1"/>
    <col min="16" max="16" width="12.42578125" style="9" bestFit="1" customWidth="1"/>
    <col min="17" max="17" width="11.140625" style="9" bestFit="1" customWidth="1"/>
    <col min="18" max="18" width="12.42578125" style="9" customWidth="1"/>
    <col min="19" max="20" width="9.140625" style="9"/>
    <col min="21" max="21" width="11" style="9" bestFit="1" customWidth="1"/>
    <col min="22" max="256" width="9.140625" style="9"/>
    <col min="257" max="257" width="4" style="9" customWidth="1"/>
    <col min="258" max="258" width="30.7109375" style="9" customWidth="1"/>
    <col min="259" max="260" width="10" style="9" customWidth="1"/>
    <col min="261" max="261" width="9.85546875" style="9" customWidth="1"/>
    <col min="262" max="262" width="12.42578125" style="9" customWidth="1"/>
    <col min="263" max="268" width="12.7109375" style="9" customWidth="1"/>
    <col min="269" max="269" width="13" style="9" customWidth="1"/>
    <col min="270" max="271" width="12.7109375" style="9" customWidth="1"/>
    <col min="272" max="272" width="9.140625" style="9"/>
    <col min="273" max="273" width="11.140625" style="9" bestFit="1" customWidth="1"/>
    <col min="274" max="512" width="9.140625" style="9"/>
    <col min="513" max="513" width="4" style="9" customWidth="1"/>
    <col min="514" max="514" width="30.7109375" style="9" customWidth="1"/>
    <col min="515" max="516" width="10" style="9" customWidth="1"/>
    <col min="517" max="517" width="9.85546875" style="9" customWidth="1"/>
    <col min="518" max="518" width="12.42578125" style="9" customWidth="1"/>
    <col min="519" max="524" width="12.7109375" style="9" customWidth="1"/>
    <col min="525" max="525" width="13" style="9" customWidth="1"/>
    <col min="526" max="527" width="12.7109375" style="9" customWidth="1"/>
    <col min="528" max="528" width="9.140625" style="9"/>
    <col min="529" max="529" width="11.140625" style="9" bestFit="1" customWidth="1"/>
    <col min="530" max="768" width="9.140625" style="9"/>
    <col min="769" max="769" width="4" style="9" customWidth="1"/>
    <col min="770" max="770" width="30.7109375" style="9" customWidth="1"/>
    <col min="771" max="772" width="10" style="9" customWidth="1"/>
    <col min="773" max="773" width="9.85546875" style="9" customWidth="1"/>
    <col min="774" max="774" width="12.42578125" style="9" customWidth="1"/>
    <col min="775" max="780" width="12.7109375" style="9" customWidth="1"/>
    <col min="781" max="781" width="13" style="9" customWidth="1"/>
    <col min="782" max="783" width="12.7109375" style="9" customWidth="1"/>
    <col min="784" max="784" width="9.140625" style="9"/>
    <col min="785" max="785" width="11.140625" style="9" bestFit="1" customWidth="1"/>
    <col min="786" max="1024" width="9.140625" style="9"/>
    <col min="1025" max="1025" width="4" style="9" customWidth="1"/>
    <col min="1026" max="1026" width="30.7109375" style="9" customWidth="1"/>
    <col min="1027" max="1028" width="10" style="9" customWidth="1"/>
    <col min="1029" max="1029" width="9.85546875" style="9" customWidth="1"/>
    <col min="1030" max="1030" width="12.42578125" style="9" customWidth="1"/>
    <col min="1031" max="1036" width="12.7109375" style="9" customWidth="1"/>
    <col min="1037" max="1037" width="13" style="9" customWidth="1"/>
    <col min="1038" max="1039" width="12.7109375" style="9" customWidth="1"/>
    <col min="1040" max="1040" width="9.140625" style="9"/>
    <col min="1041" max="1041" width="11.140625" style="9" bestFit="1" customWidth="1"/>
    <col min="1042" max="1280" width="9.140625" style="9"/>
    <col min="1281" max="1281" width="4" style="9" customWidth="1"/>
    <col min="1282" max="1282" width="30.7109375" style="9" customWidth="1"/>
    <col min="1283" max="1284" width="10" style="9" customWidth="1"/>
    <col min="1285" max="1285" width="9.85546875" style="9" customWidth="1"/>
    <col min="1286" max="1286" width="12.42578125" style="9" customWidth="1"/>
    <col min="1287" max="1292" width="12.7109375" style="9" customWidth="1"/>
    <col min="1293" max="1293" width="13" style="9" customWidth="1"/>
    <col min="1294" max="1295" width="12.7109375" style="9" customWidth="1"/>
    <col min="1296" max="1296" width="9.140625" style="9"/>
    <col min="1297" max="1297" width="11.140625" style="9" bestFit="1" customWidth="1"/>
    <col min="1298" max="1536" width="9.140625" style="9"/>
    <col min="1537" max="1537" width="4" style="9" customWidth="1"/>
    <col min="1538" max="1538" width="30.7109375" style="9" customWidth="1"/>
    <col min="1539" max="1540" width="10" style="9" customWidth="1"/>
    <col min="1541" max="1541" width="9.85546875" style="9" customWidth="1"/>
    <col min="1542" max="1542" width="12.42578125" style="9" customWidth="1"/>
    <col min="1543" max="1548" width="12.7109375" style="9" customWidth="1"/>
    <col min="1549" max="1549" width="13" style="9" customWidth="1"/>
    <col min="1550" max="1551" width="12.7109375" style="9" customWidth="1"/>
    <col min="1552" max="1552" width="9.140625" style="9"/>
    <col min="1553" max="1553" width="11.140625" style="9" bestFit="1" customWidth="1"/>
    <col min="1554" max="1792" width="9.140625" style="9"/>
    <col min="1793" max="1793" width="4" style="9" customWidth="1"/>
    <col min="1794" max="1794" width="30.7109375" style="9" customWidth="1"/>
    <col min="1795" max="1796" width="10" style="9" customWidth="1"/>
    <col min="1797" max="1797" width="9.85546875" style="9" customWidth="1"/>
    <col min="1798" max="1798" width="12.42578125" style="9" customWidth="1"/>
    <col min="1799" max="1804" width="12.7109375" style="9" customWidth="1"/>
    <col min="1805" max="1805" width="13" style="9" customWidth="1"/>
    <col min="1806" max="1807" width="12.7109375" style="9" customWidth="1"/>
    <col min="1808" max="1808" width="9.140625" style="9"/>
    <col min="1809" max="1809" width="11.140625" style="9" bestFit="1" customWidth="1"/>
    <col min="1810" max="2048" width="9.140625" style="9"/>
    <col min="2049" max="2049" width="4" style="9" customWidth="1"/>
    <col min="2050" max="2050" width="30.7109375" style="9" customWidth="1"/>
    <col min="2051" max="2052" width="10" style="9" customWidth="1"/>
    <col min="2053" max="2053" width="9.85546875" style="9" customWidth="1"/>
    <col min="2054" max="2054" width="12.42578125" style="9" customWidth="1"/>
    <col min="2055" max="2060" width="12.7109375" style="9" customWidth="1"/>
    <col min="2061" max="2061" width="13" style="9" customWidth="1"/>
    <col min="2062" max="2063" width="12.7109375" style="9" customWidth="1"/>
    <col min="2064" max="2064" width="9.140625" style="9"/>
    <col min="2065" max="2065" width="11.140625" style="9" bestFit="1" customWidth="1"/>
    <col min="2066" max="2304" width="9.140625" style="9"/>
    <col min="2305" max="2305" width="4" style="9" customWidth="1"/>
    <col min="2306" max="2306" width="30.7109375" style="9" customWidth="1"/>
    <col min="2307" max="2308" width="10" style="9" customWidth="1"/>
    <col min="2309" max="2309" width="9.85546875" style="9" customWidth="1"/>
    <col min="2310" max="2310" width="12.42578125" style="9" customWidth="1"/>
    <col min="2311" max="2316" width="12.7109375" style="9" customWidth="1"/>
    <col min="2317" max="2317" width="13" style="9" customWidth="1"/>
    <col min="2318" max="2319" width="12.7109375" style="9" customWidth="1"/>
    <col min="2320" max="2320" width="9.140625" style="9"/>
    <col min="2321" max="2321" width="11.140625" style="9" bestFit="1" customWidth="1"/>
    <col min="2322" max="2560" width="9.140625" style="9"/>
    <col min="2561" max="2561" width="4" style="9" customWidth="1"/>
    <col min="2562" max="2562" width="30.7109375" style="9" customWidth="1"/>
    <col min="2563" max="2564" width="10" style="9" customWidth="1"/>
    <col min="2565" max="2565" width="9.85546875" style="9" customWidth="1"/>
    <col min="2566" max="2566" width="12.42578125" style="9" customWidth="1"/>
    <col min="2567" max="2572" width="12.7109375" style="9" customWidth="1"/>
    <col min="2573" max="2573" width="13" style="9" customWidth="1"/>
    <col min="2574" max="2575" width="12.7109375" style="9" customWidth="1"/>
    <col min="2576" max="2576" width="9.140625" style="9"/>
    <col min="2577" max="2577" width="11.140625" style="9" bestFit="1" customWidth="1"/>
    <col min="2578" max="2816" width="9.140625" style="9"/>
    <col min="2817" max="2817" width="4" style="9" customWidth="1"/>
    <col min="2818" max="2818" width="30.7109375" style="9" customWidth="1"/>
    <col min="2819" max="2820" width="10" style="9" customWidth="1"/>
    <col min="2821" max="2821" width="9.85546875" style="9" customWidth="1"/>
    <col min="2822" max="2822" width="12.42578125" style="9" customWidth="1"/>
    <col min="2823" max="2828" width="12.7109375" style="9" customWidth="1"/>
    <col min="2829" max="2829" width="13" style="9" customWidth="1"/>
    <col min="2830" max="2831" width="12.7109375" style="9" customWidth="1"/>
    <col min="2832" max="2832" width="9.140625" style="9"/>
    <col min="2833" max="2833" width="11.140625" style="9" bestFit="1" customWidth="1"/>
    <col min="2834" max="3072" width="9.140625" style="9"/>
    <col min="3073" max="3073" width="4" style="9" customWidth="1"/>
    <col min="3074" max="3074" width="30.7109375" style="9" customWidth="1"/>
    <col min="3075" max="3076" width="10" style="9" customWidth="1"/>
    <col min="3077" max="3077" width="9.85546875" style="9" customWidth="1"/>
    <col min="3078" max="3078" width="12.42578125" style="9" customWidth="1"/>
    <col min="3079" max="3084" width="12.7109375" style="9" customWidth="1"/>
    <col min="3085" max="3085" width="13" style="9" customWidth="1"/>
    <col min="3086" max="3087" width="12.7109375" style="9" customWidth="1"/>
    <col min="3088" max="3088" width="9.140625" style="9"/>
    <col min="3089" max="3089" width="11.140625" style="9" bestFit="1" customWidth="1"/>
    <col min="3090" max="3328" width="9.140625" style="9"/>
    <col min="3329" max="3329" width="4" style="9" customWidth="1"/>
    <col min="3330" max="3330" width="30.7109375" style="9" customWidth="1"/>
    <col min="3331" max="3332" width="10" style="9" customWidth="1"/>
    <col min="3333" max="3333" width="9.85546875" style="9" customWidth="1"/>
    <col min="3334" max="3334" width="12.42578125" style="9" customWidth="1"/>
    <col min="3335" max="3340" width="12.7109375" style="9" customWidth="1"/>
    <col min="3341" max="3341" width="13" style="9" customWidth="1"/>
    <col min="3342" max="3343" width="12.7109375" style="9" customWidth="1"/>
    <col min="3344" max="3344" width="9.140625" style="9"/>
    <col min="3345" max="3345" width="11.140625" style="9" bestFit="1" customWidth="1"/>
    <col min="3346" max="3584" width="9.140625" style="9"/>
    <col min="3585" max="3585" width="4" style="9" customWidth="1"/>
    <col min="3586" max="3586" width="30.7109375" style="9" customWidth="1"/>
    <col min="3587" max="3588" width="10" style="9" customWidth="1"/>
    <col min="3589" max="3589" width="9.85546875" style="9" customWidth="1"/>
    <col min="3590" max="3590" width="12.42578125" style="9" customWidth="1"/>
    <col min="3591" max="3596" width="12.7109375" style="9" customWidth="1"/>
    <col min="3597" max="3597" width="13" style="9" customWidth="1"/>
    <col min="3598" max="3599" width="12.7109375" style="9" customWidth="1"/>
    <col min="3600" max="3600" width="9.140625" style="9"/>
    <col min="3601" max="3601" width="11.140625" style="9" bestFit="1" customWidth="1"/>
    <col min="3602" max="3840" width="9.140625" style="9"/>
    <col min="3841" max="3841" width="4" style="9" customWidth="1"/>
    <col min="3842" max="3842" width="30.7109375" style="9" customWidth="1"/>
    <col min="3843" max="3844" width="10" style="9" customWidth="1"/>
    <col min="3845" max="3845" width="9.85546875" style="9" customWidth="1"/>
    <col min="3846" max="3846" width="12.42578125" style="9" customWidth="1"/>
    <col min="3847" max="3852" width="12.7109375" style="9" customWidth="1"/>
    <col min="3853" max="3853" width="13" style="9" customWidth="1"/>
    <col min="3854" max="3855" width="12.7109375" style="9" customWidth="1"/>
    <col min="3856" max="3856" width="9.140625" style="9"/>
    <col min="3857" max="3857" width="11.140625" style="9" bestFit="1" customWidth="1"/>
    <col min="3858" max="4096" width="9.140625" style="9"/>
    <col min="4097" max="4097" width="4" style="9" customWidth="1"/>
    <col min="4098" max="4098" width="30.7109375" style="9" customWidth="1"/>
    <col min="4099" max="4100" width="10" style="9" customWidth="1"/>
    <col min="4101" max="4101" width="9.85546875" style="9" customWidth="1"/>
    <col min="4102" max="4102" width="12.42578125" style="9" customWidth="1"/>
    <col min="4103" max="4108" width="12.7109375" style="9" customWidth="1"/>
    <col min="4109" max="4109" width="13" style="9" customWidth="1"/>
    <col min="4110" max="4111" width="12.7109375" style="9" customWidth="1"/>
    <col min="4112" max="4112" width="9.140625" style="9"/>
    <col min="4113" max="4113" width="11.140625" style="9" bestFit="1" customWidth="1"/>
    <col min="4114" max="4352" width="9.140625" style="9"/>
    <col min="4353" max="4353" width="4" style="9" customWidth="1"/>
    <col min="4354" max="4354" width="30.7109375" style="9" customWidth="1"/>
    <col min="4355" max="4356" width="10" style="9" customWidth="1"/>
    <col min="4357" max="4357" width="9.85546875" style="9" customWidth="1"/>
    <col min="4358" max="4358" width="12.42578125" style="9" customWidth="1"/>
    <col min="4359" max="4364" width="12.7109375" style="9" customWidth="1"/>
    <col min="4365" max="4365" width="13" style="9" customWidth="1"/>
    <col min="4366" max="4367" width="12.7109375" style="9" customWidth="1"/>
    <col min="4368" max="4368" width="9.140625" style="9"/>
    <col min="4369" max="4369" width="11.140625" style="9" bestFit="1" customWidth="1"/>
    <col min="4370" max="4608" width="9.140625" style="9"/>
    <col min="4609" max="4609" width="4" style="9" customWidth="1"/>
    <col min="4610" max="4610" width="30.7109375" style="9" customWidth="1"/>
    <col min="4611" max="4612" width="10" style="9" customWidth="1"/>
    <col min="4613" max="4613" width="9.85546875" style="9" customWidth="1"/>
    <col min="4614" max="4614" width="12.42578125" style="9" customWidth="1"/>
    <col min="4615" max="4620" width="12.7109375" style="9" customWidth="1"/>
    <col min="4621" max="4621" width="13" style="9" customWidth="1"/>
    <col min="4622" max="4623" width="12.7109375" style="9" customWidth="1"/>
    <col min="4624" max="4624" width="9.140625" style="9"/>
    <col min="4625" max="4625" width="11.140625" style="9" bestFit="1" customWidth="1"/>
    <col min="4626" max="4864" width="9.140625" style="9"/>
    <col min="4865" max="4865" width="4" style="9" customWidth="1"/>
    <col min="4866" max="4866" width="30.7109375" style="9" customWidth="1"/>
    <col min="4867" max="4868" width="10" style="9" customWidth="1"/>
    <col min="4869" max="4869" width="9.85546875" style="9" customWidth="1"/>
    <col min="4870" max="4870" width="12.42578125" style="9" customWidth="1"/>
    <col min="4871" max="4876" width="12.7109375" style="9" customWidth="1"/>
    <col min="4877" max="4877" width="13" style="9" customWidth="1"/>
    <col min="4878" max="4879" width="12.7109375" style="9" customWidth="1"/>
    <col min="4880" max="4880" width="9.140625" style="9"/>
    <col min="4881" max="4881" width="11.140625" style="9" bestFit="1" customWidth="1"/>
    <col min="4882" max="5120" width="9.140625" style="9"/>
    <col min="5121" max="5121" width="4" style="9" customWidth="1"/>
    <col min="5122" max="5122" width="30.7109375" style="9" customWidth="1"/>
    <col min="5123" max="5124" width="10" style="9" customWidth="1"/>
    <col min="5125" max="5125" width="9.85546875" style="9" customWidth="1"/>
    <col min="5126" max="5126" width="12.42578125" style="9" customWidth="1"/>
    <col min="5127" max="5132" width="12.7109375" style="9" customWidth="1"/>
    <col min="5133" max="5133" width="13" style="9" customWidth="1"/>
    <col min="5134" max="5135" width="12.7109375" style="9" customWidth="1"/>
    <col min="5136" max="5136" width="9.140625" style="9"/>
    <col min="5137" max="5137" width="11.140625" style="9" bestFit="1" customWidth="1"/>
    <col min="5138" max="5376" width="9.140625" style="9"/>
    <col min="5377" max="5377" width="4" style="9" customWidth="1"/>
    <col min="5378" max="5378" width="30.7109375" style="9" customWidth="1"/>
    <col min="5379" max="5380" width="10" style="9" customWidth="1"/>
    <col min="5381" max="5381" width="9.85546875" style="9" customWidth="1"/>
    <col min="5382" max="5382" width="12.42578125" style="9" customWidth="1"/>
    <col min="5383" max="5388" width="12.7109375" style="9" customWidth="1"/>
    <col min="5389" max="5389" width="13" style="9" customWidth="1"/>
    <col min="5390" max="5391" width="12.7109375" style="9" customWidth="1"/>
    <col min="5392" max="5392" width="9.140625" style="9"/>
    <col min="5393" max="5393" width="11.140625" style="9" bestFit="1" customWidth="1"/>
    <col min="5394" max="5632" width="9.140625" style="9"/>
    <col min="5633" max="5633" width="4" style="9" customWidth="1"/>
    <col min="5634" max="5634" width="30.7109375" style="9" customWidth="1"/>
    <col min="5635" max="5636" width="10" style="9" customWidth="1"/>
    <col min="5637" max="5637" width="9.85546875" style="9" customWidth="1"/>
    <col min="5638" max="5638" width="12.42578125" style="9" customWidth="1"/>
    <col min="5639" max="5644" width="12.7109375" style="9" customWidth="1"/>
    <col min="5645" max="5645" width="13" style="9" customWidth="1"/>
    <col min="5646" max="5647" width="12.7109375" style="9" customWidth="1"/>
    <col min="5648" max="5648" width="9.140625" style="9"/>
    <col min="5649" max="5649" width="11.140625" style="9" bestFit="1" customWidth="1"/>
    <col min="5650" max="5888" width="9.140625" style="9"/>
    <col min="5889" max="5889" width="4" style="9" customWidth="1"/>
    <col min="5890" max="5890" width="30.7109375" style="9" customWidth="1"/>
    <col min="5891" max="5892" width="10" style="9" customWidth="1"/>
    <col min="5893" max="5893" width="9.85546875" style="9" customWidth="1"/>
    <col min="5894" max="5894" width="12.42578125" style="9" customWidth="1"/>
    <col min="5895" max="5900" width="12.7109375" style="9" customWidth="1"/>
    <col min="5901" max="5901" width="13" style="9" customWidth="1"/>
    <col min="5902" max="5903" width="12.7109375" style="9" customWidth="1"/>
    <col min="5904" max="5904" width="9.140625" style="9"/>
    <col min="5905" max="5905" width="11.140625" style="9" bestFit="1" customWidth="1"/>
    <col min="5906" max="6144" width="9.140625" style="9"/>
    <col min="6145" max="6145" width="4" style="9" customWidth="1"/>
    <col min="6146" max="6146" width="30.7109375" style="9" customWidth="1"/>
    <col min="6147" max="6148" width="10" style="9" customWidth="1"/>
    <col min="6149" max="6149" width="9.85546875" style="9" customWidth="1"/>
    <col min="6150" max="6150" width="12.42578125" style="9" customWidth="1"/>
    <col min="6151" max="6156" width="12.7109375" style="9" customWidth="1"/>
    <col min="6157" max="6157" width="13" style="9" customWidth="1"/>
    <col min="6158" max="6159" width="12.7109375" style="9" customWidth="1"/>
    <col min="6160" max="6160" width="9.140625" style="9"/>
    <col min="6161" max="6161" width="11.140625" style="9" bestFit="1" customWidth="1"/>
    <col min="6162" max="6400" width="9.140625" style="9"/>
    <col min="6401" max="6401" width="4" style="9" customWidth="1"/>
    <col min="6402" max="6402" width="30.7109375" style="9" customWidth="1"/>
    <col min="6403" max="6404" width="10" style="9" customWidth="1"/>
    <col min="6405" max="6405" width="9.85546875" style="9" customWidth="1"/>
    <col min="6406" max="6406" width="12.42578125" style="9" customWidth="1"/>
    <col min="6407" max="6412" width="12.7109375" style="9" customWidth="1"/>
    <col min="6413" max="6413" width="13" style="9" customWidth="1"/>
    <col min="6414" max="6415" width="12.7109375" style="9" customWidth="1"/>
    <col min="6416" max="6416" width="9.140625" style="9"/>
    <col min="6417" max="6417" width="11.140625" style="9" bestFit="1" customWidth="1"/>
    <col min="6418" max="6656" width="9.140625" style="9"/>
    <col min="6657" max="6657" width="4" style="9" customWidth="1"/>
    <col min="6658" max="6658" width="30.7109375" style="9" customWidth="1"/>
    <col min="6659" max="6660" width="10" style="9" customWidth="1"/>
    <col min="6661" max="6661" width="9.85546875" style="9" customWidth="1"/>
    <col min="6662" max="6662" width="12.42578125" style="9" customWidth="1"/>
    <col min="6663" max="6668" width="12.7109375" style="9" customWidth="1"/>
    <col min="6669" max="6669" width="13" style="9" customWidth="1"/>
    <col min="6670" max="6671" width="12.7109375" style="9" customWidth="1"/>
    <col min="6672" max="6672" width="9.140625" style="9"/>
    <col min="6673" max="6673" width="11.140625" style="9" bestFit="1" customWidth="1"/>
    <col min="6674" max="6912" width="9.140625" style="9"/>
    <col min="6913" max="6913" width="4" style="9" customWidth="1"/>
    <col min="6914" max="6914" width="30.7109375" style="9" customWidth="1"/>
    <col min="6915" max="6916" width="10" style="9" customWidth="1"/>
    <col min="6917" max="6917" width="9.85546875" style="9" customWidth="1"/>
    <col min="6918" max="6918" width="12.42578125" style="9" customWidth="1"/>
    <col min="6919" max="6924" width="12.7109375" style="9" customWidth="1"/>
    <col min="6925" max="6925" width="13" style="9" customWidth="1"/>
    <col min="6926" max="6927" width="12.7109375" style="9" customWidth="1"/>
    <col min="6928" max="6928" width="9.140625" style="9"/>
    <col min="6929" max="6929" width="11.140625" style="9" bestFit="1" customWidth="1"/>
    <col min="6930" max="7168" width="9.140625" style="9"/>
    <col min="7169" max="7169" width="4" style="9" customWidth="1"/>
    <col min="7170" max="7170" width="30.7109375" style="9" customWidth="1"/>
    <col min="7171" max="7172" width="10" style="9" customWidth="1"/>
    <col min="7173" max="7173" width="9.85546875" style="9" customWidth="1"/>
    <col min="7174" max="7174" width="12.42578125" style="9" customWidth="1"/>
    <col min="7175" max="7180" width="12.7109375" style="9" customWidth="1"/>
    <col min="7181" max="7181" width="13" style="9" customWidth="1"/>
    <col min="7182" max="7183" width="12.7109375" style="9" customWidth="1"/>
    <col min="7184" max="7184" width="9.140625" style="9"/>
    <col min="7185" max="7185" width="11.140625" style="9" bestFit="1" customWidth="1"/>
    <col min="7186" max="7424" width="9.140625" style="9"/>
    <col min="7425" max="7425" width="4" style="9" customWidth="1"/>
    <col min="7426" max="7426" width="30.7109375" style="9" customWidth="1"/>
    <col min="7427" max="7428" width="10" style="9" customWidth="1"/>
    <col min="7429" max="7429" width="9.85546875" style="9" customWidth="1"/>
    <col min="7430" max="7430" width="12.42578125" style="9" customWidth="1"/>
    <col min="7431" max="7436" width="12.7109375" style="9" customWidth="1"/>
    <col min="7437" max="7437" width="13" style="9" customWidth="1"/>
    <col min="7438" max="7439" width="12.7109375" style="9" customWidth="1"/>
    <col min="7440" max="7440" width="9.140625" style="9"/>
    <col min="7441" max="7441" width="11.140625" style="9" bestFit="1" customWidth="1"/>
    <col min="7442" max="7680" width="9.140625" style="9"/>
    <col min="7681" max="7681" width="4" style="9" customWidth="1"/>
    <col min="7682" max="7682" width="30.7109375" style="9" customWidth="1"/>
    <col min="7683" max="7684" width="10" style="9" customWidth="1"/>
    <col min="7685" max="7685" width="9.85546875" style="9" customWidth="1"/>
    <col min="7686" max="7686" width="12.42578125" style="9" customWidth="1"/>
    <col min="7687" max="7692" width="12.7109375" style="9" customWidth="1"/>
    <col min="7693" max="7693" width="13" style="9" customWidth="1"/>
    <col min="7694" max="7695" width="12.7109375" style="9" customWidth="1"/>
    <col min="7696" max="7696" width="9.140625" style="9"/>
    <col min="7697" max="7697" width="11.140625" style="9" bestFit="1" customWidth="1"/>
    <col min="7698" max="7936" width="9.140625" style="9"/>
    <col min="7937" max="7937" width="4" style="9" customWidth="1"/>
    <col min="7938" max="7938" width="30.7109375" style="9" customWidth="1"/>
    <col min="7939" max="7940" width="10" style="9" customWidth="1"/>
    <col min="7941" max="7941" width="9.85546875" style="9" customWidth="1"/>
    <col min="7942" max="7942" width="12.42578125" style="9" customWidth="1"/>
    <col min="7943" max="7948" width="12.7109375" style="9" customWidth="1"/>
    <col min="7949" max="7949" width="13" style="9" customWidth="1"/>
    <col min="7950" max="7951" width="12.7109375" style="9" customWidth="1"/>
    <col min="7952" max="7952" width="9.140625" style="9"/>
    <col min="7953" max="7953" width="11.140625" style="9" bestFit="1" customWidth="1"/>
    <col min="7954" max="8192" width="9.140625" style="9"/>
    <col min="8193" max="8193" width="4" style="9" customWidth="1"/>
    <col min="8194" max="8194" width="30.7109375" style="9" customWidth="1"/>
    <col min="8195" max="8196" width="10" style="9" customWidth="1"/>
    <col min="8197" max="8197" width="9.85546875" style="9" customWidth="1"/>
    <col min="8198" max="8198" width="12.42578125" style="9" customWidth="1"/>
    <col min="8199" max="8204" width="12.7109375" style="9" customWidth="1"/>
    <col min="8205" max="8205" width="13" style="9" customWidth="1"/>
    <col min="8206" max="8207" width="12.7109375" style="9" customWidth="1"/>
    <col min="8208" max="8208" width="9.140625" style="9"/>
    <col min="8209" max="8209" width="11.140625" style="9" bestFit="1" customWidth="1"/>
    <col min="8210" max="8448" width="9.140625" style="9"/>
    <col min="8449" max="8449" width="4" style="9" customWidth="1"/>
    <col min="8450" max="8450" width="30.7109375" style="9" customWidth="1"/>
    <col min="8451" max="8452" width="10" style="9" customWidth="1"/>
    <col min="8453" max="8453" width="9.85546875" style="9" customWidth="1"/>
    <col min="8454" max="8454" width="12.42578125" style="9" customWidth="1"/>
    <col min="8455" max="8460" width="12.7109375" style="9" customWidth="1"/>
    <col min="8461" max="8461" width="13" style="9" customWidth="1"/>
    <col min="8462" max="8463" width="12.7109375" style="9" customWidth="1"/>
    <col min="8464" max="8464" width="9.140625" style="9"/>
    <col min="8465" max="8465" width="11.140625" style="9" bestFit="1" customWidth="1"/>
    <col min="8466" max="8704" width="9.140625" style="9"/>
    <col min="8705" max="8705" width="4" style="9" customWidth="1"/>
    <col min="8706" max="8706" width="30.7109375" style="9" customWidth="1"/>
    <col min="8707" max="8708" width="10" style="9" customWidth="1"/>
    <col min="8709" max="8709" width="9.85546875" style="9" customWidth="1"/>
    <col min="8710" max="8710" width="12.42578125" style="9" customWidth="1"/>
    <col min="8711" max="8716" width="12.7109375" style="9" customWidth="1"/>
    <col min="8717" max="8717" width="13" style="9" customWidth="1"/>
    <col min="8718" max="8719" width="12.7109375" style="9" customWidth="1"/>
    <col min="8720" max="8720" width="9.140625" style="9"/>
    <col min="8721" max="8721" width="11.140625" style="9" bestFit="1" customWidth="1"/>
    <col min="8722" max="8960" width="9.140625" style="9"/>
    <col min="8961" max="8961" width="4" style="9" customWidth="1"/>
    <col min="8962" max="8962" width="30.7109375" style="9" customWidth="1"/>
    <col min="8963" max="8964" width="10" style="9" customWidth="1"/>
    <col min="8965" max="8965" width="9.85546875" style="9" customWidth="1"/>
    <col min="8966" max="8966" width="12.42578125" style="9" customWidth="1"/>
    <col min="8967" max="8972" width="12.7109375" style="9" customWidth="1"/>
    <col min="8973" max="8973" width="13" style="9" customWidth="1"/>
    <col min="8974" max="8975" width="12.7109375" style="9" customWidth="1"/>
    <col min="8976" max="8976" width="9.140625" style="9"/>
    <col min="8977" max="8977" width="11.140625" style="9" bestFit="1" customWidth="1"/>
    <col min="8978" max="9216" width="9.140625" style="9"/>
    <col min="9217" max="9217" width="4" style="9" customWidth="1"/>
    <col min="9218" max="9218" width="30.7109375" style="9" customWidth="1"/>
    <col min="9219" max="9220" width="10" style="9" customWidth="1"/>
    <col min="9221" max="9221" width="9.85546875" style="9" customWidth="1"/>
    <col min="9222" max="9222" width="12.42578125" style="9" customWidth="1"/>
    <col min="9223" max="9228" width="12.7109375" style="9" customWidth="1"/>
    <col min="9229" max="9229" width="13" style="9" customWidth="1"/>
    <col min="9230" max="9231" width="12.7109375" style="9" customWidth="1"/>
    <col min="9232" max="9232" width="9.140625" style="9"/>
    <col min="9233" max="9233" width="11.140625" style="9" bestFit="1" customWidth="1"/>
    <col min="9234" max="9472" width="9.140625" style="9"/>
    <col min="9473" max="9473" width="4" style="9" customWidth="1"/>
    <col min="9474" max="9474" width="30.7109375" style="9" customWidth="1"/>
    <col min="9475" max="9476" width="10" style="9" customWidth="1"/>
    <col min="9477" max="9477" width="9.85546875" style="9" customWidth="1"/>
    <col min="9478" max="9478" width="12.42578125" style="9" customWidth="1"/>
    <col min="9479" max="9484" width="12.7109375" style="9" customWidth="1"/>
    <col min="9485" max="9485" width="13" style="9" customWidth="1"/>
    <col min="9486" max="9487" width="12.7109375" style="9" customWidth="1"/>
    <col min="9488" max="9488" width="9.140625" style="9"/>
    <col min="9489" max="9489" width="11.140625" style="9" bestFit="1" customWidth="1"/>
    <col min="9490" max="9728" width="9.140625" style="9"/>
    <col min="9729" max="9729" width="4" style="9" customWidth="1"/>
    <col min="9730" max="9730" width="30.7109375" style="9" customWidth="1"/>
    <col min="9731" max="9732" width="10" style="9" customWidth="1"/>
    <col min="9733" max="9733" width="9.85546875" style="9" customWidth="1"/>
    <col min="9734" max="9734" width="12.42578125" style="9" customWidth="1"/>
    <col min="9735" max="9740" width="12.7109375" style="9" customWidth="1"/>
    <col min="9741" max="9741" width="13" style="9" customWidth="1"/>
    <col min="9742" max="9743" width="12.7109375" style="9" customWidth="1"/>
    <col min="9744" max="9744" width="9.140625" style="9"/>
    <col min="9745" max="9745" width="11.140625" style="9" bestFit="1" customWidth="1"/>
    <col min="9746" max="9984" width="9.140625" style="9"/>
    <col min="9985" max="9985" width="4" style="9" customWidth="1"/>
    <col min="9986" max="9986" width="30.7109375" style="9" customWidth="1"/>
    <col min="9987" max="9988" width="10" style="9" customWidth="1"/>
    <col min="9989" max="9989" width="9.85546875" style="9" customWidth="1"/>
    <col min="9990" max="9990" width="12.42578125" style="9" customWidth="1"/>
    <col min="9991" max="9996" width="12.7109375" style="9" customWidth="1"/>
    <col min="9997" max="9997" width="13" style="9" customWidth="1"/>
    <col min="9998" max="9999" width="12.7109375" style="9" customWidth="1"/>
    <col min="10000" max="10000" width="9.140625" style="9"/>
    <col min="10001" max="10001" width="11.140625" style="9" bestFit="1" customWidth="1"/>
    <col min="10002" max="10240" width="9.140625" style="9"/>
    <col min="10241" max="10241" width="4" style="9" customWidth="1"/>
    <col min="10242" max="10242" width="30.7109375" style="9" customWidth="1"/>
    <col min="10243" max="10244" width="10" style="9" customWidth="1"/>
    <col min="10245" max="10245" width="9.85546875" style="9" customWidth="1"/>
    <col min="10246" max="10246" width="12.42578125" style="9" customWidth="1"/>
    <col min="10247" max="10252" width="12.7109375" style="9" customWidth="1"/>
    <col min="10253" max="10253" width="13" style="9" customWidth="1"/>
    <col min="10254" max="10255" width="12.7109375" style="9" customWidth="1"/>
    <col min="10256" max="10256" width="9.140625" style="9"/>
    <col min="10257" max="10257" width="11.140625" style="9" bestFit="1" customWidth="1"/>
    <col min="10258" max="10496" width="9.140625" style="9"/>
    <col min="10497" max="10497" width="4" style="9" customWidth="1"/>
    <col min="10498" max="10498" width="30.7109375" style="9" customWidth="1"/>
    <col min="10499" max="10500" width="10" style="9" customWidth="1"/>
    <col min="10501" max="10501" width="9.85546875" style="9" customWidth="1"/>
    <col min="10502" max="10502" width="12.42578125" style="9" customWidth="1"/>
    <col min="10503" max="10508" width="12.7109375" style="9" customWidth="1"/>
    <col min="10509" max="10509" width="13" style="9" customWidth="1"/>
    <col min="10510" max="10511" width="12.7109375" style="9" customWidth="1"/>
    <col min="10512" max="10512" width="9.140625" style="9"/>
    <col min="10513" max="10513" width="11.140625" style="9" bestFit="1" customWidth="1"/>
    <col min="10514" max="10752" width="9.140625" style="9"/>
    <col min="10753" max="10753" width="4" style="9" customWidth="1"/>
    <col min="10754" max="10754" width="30.7109375" style="9" customWidth="1"/>
    <col min="10755" max="10756" width="10" style="9" customWidth="1"/>
    <col min="10757" max="10757" width="9.85546875" style="9" customWidth="1"/>
    <col min="10758" max="10758" width="12.42578125" style="9" customWidth="1"/>
    <col min="10759" max="10764" width="12.7109375" style="9" customWidth="1"/>
    <col min="10765" max="10765" width="13" style="9" customWidth="1"/>
    <col min="10766" max="10767" width="12.7109375" style="9" customWidth="1"/>
    <col min="10768" max="10768" width="9.140625" style="9"/>
    <col min="10769" max="10769" width="11.140625" style="9" bestFit="1" customWidth="1"/>
    <col min="10770" max="11008" width="9.140625" style="9"/>
    <col min="11009" max="11009" width="4" style="9" customWidth="1"/>
    <col min="11010" max="11010" width="30.7109375" style="9" customWidth="1"/>
    <col min="11011" max="11012" width="10" style="9" customWidth="1"/>
    <col min="11013" max="11013" width="9.85546875" style="9" customWidth="1"/>
    <col min="11014" max="11014" width="12.42578125" style="9" customWidth="1"/>
    <col min="11015" max="11020" width="12.7109375" style="9" customWidth="1"/>
    <col min="11021" max="11021" width="13" style="9" customWidth="1"/>
    <col min="11022" max="11023" width="12.7109375" style="9" customWidth="1"/>
    <col min="11024" max="11024" width="9.140625" style="9"/>
    <col min="11025" max="11025" width="11.140625" style="9" bestFit="1" customWidth="1"/>
    <col min="11026" max="11264" width="9.140625" style="9"/>
    <col min="11265" max="11265" width="4" style="9" customWidth="1"/>
    <col min="11266" max="11266" width="30.7109375" style="9" customWidth="1"/>
    <col min="11267" max="11268" width="10" style="9" customWidth="1"/>
    <col min="11269" max="11269" width="9.85546875" style="9" customWidth="1"/>
    <col min="11270" max="11270" width="12.42578125" style="9" customWidth="1"/>
    <col min="11271" max="11276" width="12.7109375" style="9" customWidth="1"/>
    <col min="11277" max="11277" width="13" style="9" customWidth="1"/>
    <col min="11278" max="11279" width="12.7109375" style="9" customWidth="1"/>
    <col min="11280" max="11280" width="9.140625" style="9"/>
    <col min="11281" max="11281" width="11.140625" style="9" bestFit="1" customWidth="1"/>
    <col min="11282" max="11520" width="9.140625" style="9"/>
    <col min="11521" max="11521" width="4" style="9" customWidth="1"/>
    <col min="11522" max="11522" width="30.7109375" style="9" customWidth="1"/>
    <col min="11523" max="11524" width="10" style="9" customWidth="1"/>
    <col min="11525" max="11525" width="9.85546875" style="9" customWidth="1"/>
    <col min="11526" max="11526" width="12.42578125" style="9" customWidth="1"/>
    <col min="11527" max="11532" width="12.7109375" style="9" customWidth="1"/>
    <col min="11533" max="11533" width="13" style="9" customWidth="1"/>
    <col min="11534" max="11535" width="12.7109375" style="9" customWidth="1"/>
    <col min="11536" max="11536" width="9.140625" style="9"/>
    <col min="11537" max="11537" width="11.140625" style="9" bestFit="1" customWidth="1"/>
    <col min="11538" max="11776" width="9.140625" style="9"/>
    <col min="11777" max="11777" width="4" style="9" customWidth="1"/>
    <col min="11778" max="11778" width="30.7109375" style="9" customWidth="1"/>
    <col min="11779" max="11780" width="10" style="9" customWidth="1"/>
    <col min="11781" max="11781" width="9.85546875" style="9" customWidth="1"/>
    <col min="11782" max="11782" width="12.42578125" style="9" customWidth="1"/>
    <col min="11783" max="11788" width="12.7109375" style="9" customWidth="1"/>
    <col min="11789" max="11789" width="13" style="9" customWidth="1"/>
    <col min="11790" max="11791" width="12.7109375" style="9" customWidth="1"/>
    <col min="11792" max="11792" width="9.140625" style="9"/>
    <col min="11793" max="11793" width="11.140625" style="9" bestFit="1" customWidth="1"/>
    <col min="11794" max="12032" width="9.140625" style="9"/>
    <col min="12033" max="12033" width="4" style="9" customWidth="1"/>
    <col min="12034" max="12034" width="30.7109375" style="9" customWidth="1"/>
    <col min="12035" max="12036" width="10" style="9" customWidth="1"/>
    <col min="12037" max="12037" width="9.85546875" style="9" customWidth="1"/>
    <col min="12038" max="12038" width="12.42578125" style="9" customWidth="1"/>
    <col min="12039" max="12044" width="12.7109375" style="9" customWidth="1"/>
    <col min="12045" max="12045" width="13" style="9" customWidth="1"/>
    <col min="12046" max="12047" width="12.7109375" style="9" customWidth="1"/>
    <col min="12048" max="12048" width="9.140625" style="9"/>
    <col min="12049" max="12049" width="11.140625" style="9" bestFit="1" customWidth="1"/>
    <col min="12050" max="12288" width="9.140625" style="9"/>
    <col min="12289" max="12289" width="4" style="9" customWidth="1"/>
    <col min="12290" max="12290" width="30.7109375" style="9" customWidth="1"/>
    <col min="12291" max="12292" width="10" style="9" customWidth="1"/>
    <col min="12293" max="12293" width="9.85546875" style="9" customWidth="1"/>
    <col min="12294" max="12294" width="12.42578125" style="9" customWidth="1"/>
    <col min="12295" max="12300" width="12.7109375" style="9" customWidth="1"/>
    <col min="12301" max="12301" width="13" style="9" customWidth="1"/>
    <col min="12302" max="12303" width="12.7109375" style="9" customWidth="1"/>
    <col min="12304" max="12304" width="9.140625" style="9"/>
    <col min="12305" max="12305" width="11.140625" style="9" bestFit="1" customWidth="1"/>
    <col min="12306" max="12544" width="9.140625" style="9"/>
    <col min="12545" max="12545" width="4" style="9" customWidth="1"/>
    <col min="12546" max="12546" width="30.7109375" style="9" customWidth="1"/>
    <col min="12547" max="12548" width="10" style="9" customWidth="1"/>
    <col min="12549" max="12549" width="9.85546875" style="9" customWidth="1"/>
    <col min="12550" max="12550" width="12.42578125" style="9" customWidth="1"/>
    <col min="12551" max="12556" width="12.7109375" style="9" customWidth="1"/>
    <col min="12557" max="12557" width="13" style="9" customWidth="1"/>
    <col min="12558" max="12559" width="12.7109375" style="9" customWidth="1"/>
    <col min="12560" max="12560" width="9.140625" style="9"/>
    <col min="12561" max="12561" width="11.140625" style="9" bestFit="1" customWidth="1"/>
    <col min="12562" max="12800" width="9.140625" style="9"/>
    <col min="12801" max="12801" width="4" style="9" customWidth="1"/>
    <col min="12802" max="12802" width="30.7109375" style="9" customWidth="1"/>
    <col min="12803" max="12804" width="10" style="9" customWidth="1"/>
    <col min="12805" max="12805" width="9.85546875" style="9" customWidth="1"/>
    <col min="12806" max="12806" width="12.42578125" style="9" customWidth="1"/>
    <col min="12807" max="12812" width="12.7109375" style="9" customWidth="1"/>
    <col min="12813" max="12813" width="13" style="9" customWidth="1"/>
    <col min="12814" max="12815" width="12.7109375" style="9" customWidth="1"/>
    <col min="12816" max="12816" width="9.140625" style="9"/>
    <col min="12817" max="12817" width="11.140625" style="9" bestFit="1" customWidth="1"/>
    <col min="12818" max="13056" width="9.140625" style="9"/>
    <col min="13057" max="13057" width="4" style="9" customWidth="1"/>
    <col min="13058" max="13058" width="30.7109375" style="9" customWidth="1"/>
    <col min="13059" max="13060" width="10" style="9" customWidth="1"/>
    <col min="13061" max="13061" width="9.85546875" style="9" customWidth="1"/>
    <col min="13062" max="13062" width="12.42578125" style="9" customWidth="1"/>
    <col min="13063" max="13068" width="12.7109375" style="9" customWidth="1"/>
    <col min="13069" max="13069" width="13" style="9" customWidth="1"/>
    <col min="13070" max="13071" width="12.7109375" style="9" customWidth="1"/>
    <col min="13072" max="13072" width="9.140625" style="9"/>
    <col min="13073" max="13073" width="11.140625" style="9" bestFit="1" customWidth="1"/>
    <col min="13074" max="13312" width="9.140625" style="9"/>
    <col min="13313" max="13313" width="4" style="9" customWidth="1"/>
    <col min="13314" max="13314" width="30.7109375" style="9" customWidth="1"/>
    <col min="13315" max="13316" width="10" style="9" customWidth="1"/>
    <col min="13317" max="13317" width="9.85546875" style="9" customWidth="1"/>
    <col min="13318" max="13318" width="12.42578125" style="9" customWidth="1"/>
    <col min="13319" max="13324" width="12.7109375" style="9" customWidth="1"/>
    <col min="13325" max="13325" width="13" style="9" customWidth="1"/>
    <col min="13326" max="13327" width="12.7109375" style="9" customWidth="1"/>
    <col min="13328" max="13328" width="9.140625" style="9"/>
    <col min="13329" max="13329" width="11.140625" style="9" bestFit="1" customWidth="1"/>
    <col min="13330" max="13568" width="9.140625" style="9"/>
    <col min="13569" max="13569" width="4" style="9" customWidth="1"/>
    <col min="13570" max="13570" width="30.7109375" style="9" customWidth="1"/>
    <col min="13571" max="13572" width="10" style="9" customWidth="1"/>
    <col min="13573" max="13573" width="9.85546875" style="9" customWidth="1"/>
    <col min="13574" max="13574" width="12.42578125" style="9" customWidth="1"/>
    <col min="13575" max="13580" width="12.7109375" style="9" customWidth="1"/>
    <col min="13581" max="13581" width="13" style="9" customWidth="1"/>
    <col min="13582" max="13583" width="12.7109375" style="9" customWidth="1"/>
    <col min="13584" max="13584" width="9.140625" style="9"/>
    <col min="13585" max="13585" width="11.140625" style="9" bestFit="1" customWidth="1"/>
    <col min="13586" max="13824" width="9.140625" style="9"/>
    <col min="13825" max="13825" width="4" style="9" customWidth="1"/>
    <col min="13826" max="13826" width="30.7109375" style="9" customWidth="1"/>
    <col min="13827" max="13828" width="10" style="9" customWidth="1"/>
    <col min="13829" max="13829" width="9.85546875" style="9" customWidth="1"/>
    <col min="13830" max="13830" width="12.42578125" style="9" customWidth="1"/>
    <col min="13831" max="13836" width="12.7109375" style="9" customWidth="1"/>
    <col min="13837" max="13837" width="13" style="9" customWidth="1"/>
    <col min="13838" max="13839" width="12.7109375" style="9" customWidth="1"/>
    <col min="13840" max="13840" width="9.140625" style="9"/>
    <col min="13841" max="13841" width="11.140625" style="9" bestFit="1" customWidth="1"/>
    <col min="13842" max="14080" width="9.140625" style="9"/>
    <col min="14081" max="14081" width="4" style="9" customWidth="1"/>
    <col min="14082" max="14082" width="30.7109375" style="9" customWidth="1"/>
    <col min="14083" max="14084" width="10" style="9" customWidth="1"/>
    <col min="14085" max="14085" width="9.85546875" style="9" customWidth="1"/>
    <col min="14086" max="14086" width="12.42578125" style="9" customWidth="1"/>
    <col min="14087" max="14092" width="12.7109375" style="9" customWidth="1"/>
    <col min="14093" max="14093" width="13" style="9" customWidth="1"/>
    <col min="14094" max="14095" width="12.7109375" style="9" customWidth="1"/>
    <col min="14096" max="14096" width="9.140625" style="9"/>
    <col min="14097" max="14097" width="11.140625" style="9" bestFit="1" customWidth="1"/>
    <col min="14098" max="14336" width="9.140625" style="9"/>
    <col min="14337" max="14337" width="4" style="9" customWidth="1"/>
    <col min="14338" max="14338" width="30.7109375" style="9" customWidth="1"/>
    <col min="14339" max="14340" width="10" style="9" customWidth="1"/>
    <col min="14341" max="14341" width="9.85546875" style="9" customWidth="1"/>
    <col min="14342" max="14342" width="12.42578125" style="9" customWidth="1"/>
    <col min="14343" max="14348" width="12.7109375" style="9" customWidth="1"/>
    <col min="14349" max="14349" width="13" style="9" customWidth="1"/>
    <col min="14350" max="14351" width="12.7109375" style="9" customWidth="1"/>
    <col min="14352" max="14352" width="9.140625" style="9"/>
    <col min="14353" max="14353" width="11.140625" style="9" bestFit="1" customWidth="1"/>
    <col min="14354" max="14592" width="9.140625" style="9"/>
    <col min="14593" max="14593" width="4" style="9" customWidth="1"/>
    <col min="14594" max="14594" width="30.7109375" style="9" customWidth="1"/>
    <col min="14595" max="14596" width="10" style="9" customWidth="1"/>
    <col min="14597" max="14597" width="9.85546875" style="9" customWidth="1"/>
    <col min="14598" max="14598" width="12.42578125" style="9" customWidth="1"/>
    <col min="14599" max="14604" width="12.7109375" style="9" customWidth="1"/>
    <col min="14605" max="14605" width="13" style="9" customWidth="1"/>
    <col min="14606" max="14607" width="12.7109375" style="9" customWidth="1"/>
    <col min="14608" max="14608" width="9.140625" style="9"/>
    <col min="14609" max="14609" width="11.140625" style="9" bestFit="1" customWidth="1"/>
    <col min="14610" max="14848" width="9.140625" style="9"/>
    <col min="14849" max="14849" width="4" style="9" customWidth="1"/>
    <col min="14850" max="14850" width="30.7109375" style="9" customWidth="1"/>
    <col min="14851" max="14852" width="10" style="9" customWidth="1"/>
    <col min="14853" max="14853" width="9.85546875" style="9" customWidth="1"/>
    <col min="14854" max="14854" width="12.42578125" style="9" customWidth="1"/>
    <col min="14855" max="14860" width="12.7109375" style="9" customWidth="1"/>
    <col min="14861" max="14861" width="13" style="9" customWidth="1"/>
    <col min="14862" max="14863" width="12.7109375" style="9" customWidth="1"/>
    <col min="14864" max="14864" width="9.140625" style="9"/>
    <col min="14865" max="14865" width="11.140625" style="9" bestFit="1" customWidth="1"/>
    <col min="14866" max="15104" width="9.140625" style="9"/>
    <col min="15105" max="15105" width="4" style="9" customWidth="1"/>
    <col min="15106" max="15106" width="30.7109375" style="9" customWidth="1"/>
    <col min="15107" max="15108" width="10" style="9" customWidth="1"/>
    <col min="15109" max="15109" width="9.85546875" style="9" customWidth="1"/>
    <col min="15110" max="15110" width="12.42578125" style="9" customWidth="1"/>
    <col min="15111" max="15116" width="12.7109375" style="9" customWidth="1"/>
    <col min="15117" max="15117" width="13" style="9" customWidth="1"/>
    <col min="15118" max="15119" width="12.7109375" style="9" customWidth="1"/>
    <col min="15120" max="15120" width="9.140625" style="9"/>
    <col min="15121" max="15121" width="11.140625" style="9" bestFit="1" customWidth="1"/>
    <col min="15122" max="15360" width="9.140625" style="9"/>
    <col min="15361" max="15361" width="4" style="9" customWidth="1"/>
    <col min="15362" max="15362" width="30.7109375" style="9" customWidth="1"/>
    <col min="15363" max="15364" width="10" style="9" customWidth="1"/>
    <col min="15365" max="15365" width="9.85546875" style="9" customWidth="1"/>
    <col min="15366" max="15366" width="12.42578125" style="9" customWidth="1"/>
    <col min="15367" max="15372" width="12.7109375" style="9" customWidth="1"/>
    <col min="15373" max="15373" width="13" style="9" customWidth="1"/>
    <col min="15374" max="15375" width="12.7109375" style="9" customWidth="1"/>
    <col min="15376" max="15376" width="9.140625" style="9"/>
    <col min="15377" max="15377" width="11.140625" style="9" bestFit="1" customWidth="1"/>
    <col min="15378" max="15616" width="9.140625" style="9"/>
    <col min="15617" max="15617" width="4" style="9" customWidth="1"/>
    <col min="15618" max="15618" width="30.7109375" style="9" customWidth="1"/>
    <col min="15619" max="15620" width="10" style="9" customWidth="1"/>
    <col min="15621" max="15621" width="9.85546875" style="9" customWidth="1"/>
    <col min="15622" max="15622" width="12.42578125" style="9" customWidth="1"/>
    <col min="15623" max="15628" width="12.7109375" style="9" customWidth="1"/>
    <col min="15629" max="15629" width="13" style="9" customWidth="1"/>
    <col min="15630" max="15631" width="12.7109375" style="9" customWidth="1"/>
    <col min="15632" max="15632" width="9.140625" style="9"/>
    <col min="15633" max="15633" width="11.140625" style="9" bestFit="1" customWidth="1"/>
    <col min="15634" max="15872" width="9.140625" style="9"/>
    <col min="15873" max="15873" width="4" style="9" customWidth="1"/>
    <col min="15874" max="15874" width="30.7109375" style="9" customWidth="1"/>
    <col min="15875" max="15876" width="10" style="9" customWidth="1"/>
    <col min="15877" max="15877" width="9.85546875" style="9" customWidth="1"/>
    <col min="15878" max="15878" width="12.42578125" style="9" customWidth="1"/>
    <col min="15879" max="15884" width="12.7109375" style="9" customWidth="1"/>
    <col min="15885" max="15885" width="13" style="9" customWidth="1"/>
    <col min="15886" max="15887" width="12.7109375" style="9" customWidth="1"/>
    <col min="15888" max="15888" width="9.140625" style="9"/>
    <col min="15889" max="15889" width="11.140625" style="9" bestFit="1" customWidth="1"/>
    <col min="15890" max="16128" width="9.140625" style="9"/>
    <col min="16129" max="16129" width="4" style="9" customWidth="1"/>
    <col min="16130" max="16130" width="30.7109375" style="9" customWidth="1"/>
    <col min="16131" max="16132" width="10" style="9" customWidth="1"/>
    <col min="16133" max="16133" width="9.85546875" style="9" customWidth="1"/>
    <col min="16134" max="16134" width="12.42578125" style="9" customWidth="1"/>
    <col min="16135" max="16140" width="12.7109375" style="9" customWidth="1"/>
    <col min="16141" max="16141" width="13" style="9" customWidth="1"/>
    <col min="16142" max="16143" width="12.7109375" style="9" customWidth="1"/>
    <col min="16144" max="16144" width="9.140625" style="9"/>
    <col min="16145" max="16145" width="11.140625" style="9" bestFit="1" customWidth="1"/>
    <col min="16146" max="16384" width="9.140625" style="9"/>
  </cols>
  <sheetData>
    <row r="1" spans="1:22" s="7" customFormat="1" ht="13.5" thickBot="1">
      <c r="A1" s="7" t="s">
        <v>15</v>
      </c>
      <c r="B1" s="8"/>
      <c r="C1" s="8"/>
      <c r="D1" s="8"/>
    </row>
    <row r="2" spans="1:22" ht="23.25" thickBot="1">
      <c r="A2" s="1875" t="s">
        <v>16</v>
      </c>
      <c r="B2" s="1876"/>
      <c r="C2" s="1876"/>
      <c r="D2" s="1876"/>
      <c r="E2" s="1876"/>
      <c r="F2" s="1876"/>
      <c r="G2" s="1876"/>
      <c r="H2" s="1876"/>
      <c r="I2" s="1876"/>
      <c r="J2" s="527"/>
      <c r="K2" s="527"/>
      <c r="L2" s="527"/>
      <c r="M2" s="527"/>
      <c r="N2" s="527"/>
      <c r="O2" s="528"/>
    </row>
    <row r="3" spans="1:22" ht="16.5" thickBot="1">
      <c r="A3" s="1877" t="s">
        <v>17</v>
      </c>
      <c r="B3" s="1878"/>
      <c r="C3" s="1878"/>
      <c r="D3" s="1878"/>
      <c r="E3" s="1878"/>
      <c r="F3" s="1878"/>
      <c r="G3" s="1878"/>
      <c r="H3" s="1878"/>
      <c r="I3" s="1878"/>
      <c r="J3" s="529"/>
      <c r="K3" s="529"/>
      <c r="L3" s="529"/>
      <c r="M3" s="529"/>
      <c r="N3" s="529"/>
      <c r="O3" s="530"/>
    </row>
    <row r="4" spans="1:22" ht="25.5">
      <c r="A4" s="10" t="s">
        <v>18</v>
      </c>
      <c r="B4" s="11"/>
      <c r="C4" s="11"/>
      <c r="D4" s="11"/>
      <c r="E4" s="12" t="s">
        <v>19</v>
      </c>
      <c r="F4" s="13"/>
      <c r="G4" s="1879" t="s">
        <v>20</v>
      </c>
      <c r="H4" s="1881"/>
      <c r="I4" s="1882"/>
      <c r="J4" s="1881"/>
      <c r="K4" s="1882"/>
      <c r="L4" s="1881"/>
      <c r="M4" s="1882"/>
      <c r="N4" s="16"/>
      <c r="O4" s="17"/>
    </row>
    <row r="5" spans="1:22" ht="13.5" thickBot="1">
      <c r="A5" s="19" t="s">
        <v>26</v>
      </c>
      <c r="B5" s="20"/>
      <c r="C5" s="20"/>
      <c r="D5" s="20"/>
      <c r="E5" s="21" t="s">
        <v>27</v>
      </c>
      <c r="F5" s="22"/>
      <c r="G5" s="1880"/>
      <c r="H5" s="1883"/>
      <c r="I5" s="1884"/>
      <c r="J5" s="1883"/>
      <c r="K5" s="1884"/>
      <c r="L5" s="1883"/>
      <c r="M5" s="1884"/>
      <c r="N5" s="24"/>
      <c r="O5" s="25"/>
      <c r="P5" s="25" t="s">
        <v>18</v>
      </c>
      <c r="Q5" s="25" t="s">
        <v>31</v>
      </c>
    </row>
    <row r="6" spans="1:22" ht="13.5" thickBot="1">
      <c r="A6" s="26"/>
      <c r="B6" s="27"/>
      <c r="C6" s="27"/>
      <c r="D6" s="27"/>
      <c r="F6" s="28"/>
      <c r="G6" s="355"/>
      <c r="H6" s="30"/>
      <c r="I6" s="28"/>
      <c r="J6" s="30"/>
      <c r="K6" s="28"/>
      <c r="L6" s="30"/>
      <c r="M6" s="28"/>
      <c r="N6" s="31"/>
      <c r="O6" s="28"/>
    </row>
    <row r="7" spans="1:22" ht="31.5" customHeight="1" thickBot="1">
      <c r="A7" s="1885" t="s">
        <v>32</v>
      </c>
      <c r="B7" s="1888" t="s">
        <v>33</v>
      </c>
      <c r="C7" s="531"/>
      <c r="D7" s="531"/>
      <c r="E7" s="1890" t="s">
        <v>1145</v>
      </c>
      <c r="F7" s="1892" t="s">
        <v>35</v>
      </c>
      <c r="G7" s="1836" t="s">
        <v>36</v>
      </c>
      <c r="H7" s="1872" t="s">
        <v>1146</v>
      </c>
      <c r="I7" s="1873"/>
      <c r="J7" s="1872" t="s">
        <v>1147</v>
      </c>
      <c r="K7" s="1873"/>
      <c r="L7" s="1872" t="s">
        <v>1147</v>
      </c>
      <c r="M7" s="1873"/>
      <c r="N7" s="1872" t="s">
        <v>1146</v>
      </c>
      <c r="O7" s="1873"/>
      <c r="P7" s="555" t="s">
        <v>18</v>
      </c>
      <c r="Q7" s="555" t="s">
        <v>31</v>
      </c>
    </row>
    <row r="8" spans="1:22" ht="19.5" customHeight="1">
      <c r="A8" s="1886"/>
      <c r="B8" s="1889"/>
      <c r="C8" s="556"/>
      <c r="D8" s="556"/>
      <c r="E8" s="1891"/>
      <c r="F8" s="1893"/>
      <c r="G8" s="1837"/>
      <c r="H8" s="1874" t="s">
        <v>1148</v>
      </c>
      <c r="I8" s="1874"/>
      <c r="J8" s="1874" t="s">
        <v>1149</v>
      </c>
      <c r="K8" s="1874"/>
      <c r="L8" s="1874" t="s">
        <v>1150</v>
      </c>
      <c r="M8" s="1874"/>
      <c r="N8" s="1874" t="s">
        <v>1151</v>
      </c>
      <c r="O8" s="1874"/>
      <c r="P8" s="266"/>
      <c r="Q8" s="266"/>
    </row>
    <row r="9" spans="1:22" ht="21.75" customHeight="1" thickBot="1">
      <c r="A9" s="1886"/>
      <c r="B9" s="1889"/>
      <c r="C9" s="556"/>
      <c r="D9" s="556"/>
      <c r="E9" s="1891"/>
      <c r="F9" s="1893"/>
      <c r="G9" s="1837"/>
      <c r="H9" s="1874"/>
      <c r="I9" s="1874"/>
      <c r="J9" s="1874"/>
      <c r="K9" s="1874"/>
      <c r="L9" s="1874"/>
      <c r="M9" s="1874"/>
      <c r="N9" s="1874"/>
      <c r="O9" s="1874"/>
      <c r="P9" s="476"/>
      <c r="Q9" s="266"/>
    </row>
    <row r="10" spans="1:22" ht="39" customHeight="1" thickBot="1">
      <c r="A10" s="1886"/>
      <c r="B10" s="1889"/>
      <c r="C10" s="556"/>
      <c r="D10" s="556"/>
      <c r="E10" s="1891"/>
      <c r="F10" s="1893"/>
      <c r="G10" s="1837"/>
      <c r="H10" s="1868" t="s">
        <v>1152</v>
      </c>
      <c r="I10" s="1869"/>
      <c r="J10" s="1868" t="s">
        <v>1153</v>
      </c>
      <c r="K10" s="1869"/>
      <c r="L10" s="1868" t="s">
        <v>1153</v>
      </c>
      <c r="M10" s="1869"/>
      <c r="N10" s="1868" t="s">
        <v>1152</v>
      </c>
      <c r="O10" s="1869"/>
      <c r="P10" s="266"/>
      <c r="Q10" s="266"/>
      <c r="R10" s="220"/>
    </row>
    <row r="11" spans="1:22" ht="13.5" thickBot="1">
      <c r="A11" s="1886"/>
      <c r="B11" s="1889"/>
      <c r="C11" s="556" t="s">
        <v>1154</v>
      </c>
      <c r="D11" s="556" t="s">
        <v>1155</v>
      </c>
      <c r="E11" s="1891"/>
      <c r="F11" s="1893"/>
      <c r="G11" s="1837"/>
      <c r="H11" s="1870" t="s">
        <v>46</v>
      </c>
      <c r="I11" s="1871"/>
      <c r="J11" s="1870" t="s">
        <v>46</v>
      </c>
      <c r="K11" s="1871"/>
      <c r="L11" s="1870" t="s">
        <v>46</v>
      </c>
      <c r="M11" s="1871"/>
      <c r="N11" s="1870" t="s">
        <v>46</v>
      </c>
      <c r="O11" s="1871"/>
      <c r="P11" s="476"/>
      <c r="Q11" s="266"/>
    </row>
    <row r="12" spans="1:22" ht="13.5" thickBot="1">
      <c r="A12" s="1887"/>
      <c r="B12" s="1889"/>
      <c r="C12" s="556"/>
      <c r="D12" s="556"/>
      <c r="E12" s="1891"/>
      <c r="F12" s="1893"/>
      <c r="G12" s="1837"/>
      <c r="H12" s="448" t="s">
        <v>47</v>
      </c>
      <c r="I12" s="449" t="s">
        <v>48</v>
      </c>
      <c r="J12" s="448" t="s">
        <v>47</v>
      </c>
      <c r="K12" s="449" t="s">
        <v>48</v>
      </c>
      <c r="L12" s="448" t="s">
        <v>47</v>
      </c>
      <c r="M12" s="449" t="s">
        <v>48</v>
      </c>
      <c r="N12" s="448" t="s">
        <v>47</v>
      </c>
      <c r="O12" s="449" t="s">
        <v>48</v>
      </c>
      <c r="P12" s="266"/>
      <c r="Q12" s="266"/>
      <c r="S12" s="202"/>
      <c r="T12" s="202"/>
      <c r="U12" s="202"/>
      <c r="V12" s="202"/>
    </row>
    <row r="13" spans="1:22" ht="15.75">
      <c r="A13" s="450"/>
      <c r="B13" s="557"/>
      <c r="C13" s="558"/>
      <c r="D13" s="558"/>
      <c r="E13" s="221"/>
      <c r="F13" s="473"/>
      <c r="G13" s="221"/>
      <c r="H13" s="559"/>
      <c r="I13" s="48"/>
      <c r="J13" s="559"/>
      <c r="K13" s="44"/>
      <c r="L13" s="560"/>
      <c r="M13" s="44"/>
      <c r="N13" s="42"/>
      <c r="O13" s="48"/>
      <c r="P13" s="266"/>
      <c r="Q13" s="266"/>
      <c r="S13" s="202"/>
      <c r="T13" s="202"/>
      <c r="U13" s="202"/>
      <c r="V13" s="202"/>
    </row>
    <row r="14" spans="1:22" ht="15.75">
      <c r="A14" s="277" t="s">
        <v>513</v>
      </c>
      <c r="B14" s="235" t="s">
        <v>1156</v>
      </c>
      <c r="C14" s="462">
        <v>1100018161</v>
      </c>
      <c r="D14" s="462">
        <v>10</v>
      </c>
      <c r="E14" s="342"/>
      <c r="F14" s="235" t="s">
        <v>192</v>
      </c>
      <c r="G14" s="342">
        <v>50</v>
      </c>
      <c r="H14" s="561">
        <v>6.95</v>
      </c>
      <c r="I14" s="562">
        <f>H14*0.95</f>
        <v>6.6025</v>
      </c>
      <c r="J14" s="563">
        <v>144</v>
      </c>
      <c r="K14" s="564">
        <f t="shared" ref="K14:K37" si="0">J14*0.75</f>
        <v>108</v>
      </c>
      <c r="L14" s="565">
        <f>(108*5)/50</f>
        <v>10.8</v>
      </c>
      <c r="M14" s="564">
        <f>L14</f>
        <v>10.8</v>
      </c>
      <c r="N14" s="566">
        <v>7.65</v>
      </c>
      <c r="O14" s="567">
        <f>N14</f>
        <v>7.65</v>
      </c>
      <c r="P14" s="234"/>
      <c r="Q14" s="235"/>
      <c r="R14" s="234" t="s">
        <v>1157</v>
      </c>
      <c r="S14" s="235" t="s">
        <v>150</v>
      </c>
      <c r="T14" s="202"/>
      <c r="U14" s="202"/>
      <c r="V14" s="202"/>
    </row>
    <row r="15" spans="1:22" ht="15.75">
      <c r="A15" s="277" t="s">
        <v>433</v>
      </c>
      <c r="B15" s="235" t="s">
        <v>1158</v>
      </c>
      <c r="C15" s="462">
        <v>1100018161</v>
      </c>
      <c r="D15" s="462">
        <v>20</v>
      </c>
      <c r="E15" s="342"/>
      <c r="F15" s="235" t="s">
        <v>192</v>
      </c>
      <c r="G15" s="342">
        <v>50</v>
      </c>
      <c r="H15" s="561">
        <v>7.6</v>
      </c>
      <c r="I15" s="562">
        <f t="shared" ref="I15:I37" si="1">H15*0.95</f>
        <v>7.22</v>
      </c>
      <c r="J15" s="563">
        <v>162</v>
      </c>
      <c r="K15" s="564">
        <f t="shared" si="0"/>
        <v>121.5</v>
      </c>
      <c r="L15" s="565">
        <f>(121.5*5)/50</f>
        <v>12.15</v>
      </c>
      <c r="M15" s="564">
        <f t="shared" ref="M15:M37" si="2">L15</f>
        <v>12.15</v>
      </c>
      <c r="N15" s="566">
        <v>8.35</v>
      </c>
      <c r="O15" s="567">
        <f t="shared" ref="O15:O37" si="3">N15</f>
        <v>8.35</v>
      </c>
      <c r="P15" s="234"/>
      <c r="Q15" s="235"/>
      <c r="S15" s="202"/>
      <c r="T15" s="202"/>
      <c r="U15" s="202"/>
      <c r="V15" s="202"/>
    </row>
    <row r="16" spans="1:22" ht="15.75">
      <c r="A16" s="277" t="s">
        <v>1159</v>
      </c>
      <c r="B16" s="235" t="s">
        <v>1160</v>
      </c>
      <c r="C16" s="462">
        <v>1100018161</v>
      </c>
      <c r="D16" s="462">
        <v>30</v>
      </c>
      <c r="E16" s="342"/>
      <c r="F16" s="235" t="s">
        <v>192</v>
      </c>
      <c r="G16" s="342">
        <v>50</v>
      </c>
      <c r="H16" s="561">
        <v>8.8000000000000007</v>
      </c>
      <c r="I16" s="562">
        <f t="shared" si="1"/>
        <v>8.36</v>
      </c>
      <c r="J16" s="563">
        <v>186</v>
      </c>
      <c r="K16" s="564">
        <f t="shared" si="0"/>
        <v>139.5</v>
      </c>
      <c r="L16" s="565">
        <f>(139.5*5)/50</f>
        <v>13.95</v>
      </c>
      <c r="M16" s="564">
        <f t="shared" si="2"/>
        <v>13.95</v>
      </c>
      <c r="N16" s="566">
        <v>9.6999999999999993</v>
      </c>
      <c r="O16" s="567">
        <f t="shared" si="3"/>
        <v>9.6999999999999993</v>
      </c>
      <c r="P16" s="234"/>
      <c r="Q16" s="235"/>
      <c r="S16" s="202"/>
      <c r="T16" s="202"/>
      <c r="U16" s="202"/>
      <c r="V16" s="202"/>
    </row>
    <row r="17" spans="1:22" ht="15.75">
      <c r="A17" s="277" t="s">
        <v>1161</v>
      </c>
      <c r="B17" s="235" t="s">
        <v>1162</v>
      </c>
      <c r="C17" s="462">
        <v>1100018161</v>
      </c>
      <c r="D17" s="462">
        <v>40</v>
      </c>
      <c r="E17" s="342"/>
      <c r="F17" s="235" t="s">
        <v>192</v>
      </c>
      <c r="G17" s="342">
        <v>50</v>
      </c>
      <c r="H17" s="561">
        <v>9.9</v>
      </c>
      <c r="I17" s="562">
        <f t="shared" si="1"/>
        <v>9.4049999999999994</v>
      </c>
      <c r="J17" s="563">
        <v>361</v>
      </c>
      <c r="K17" s="564">
        <f t="shared" si="0"/>
        <v>270.75</v>
      </c>
      <c r="L17" s="565">
        <f>(270.75*5)/50</f>
        <v>27.074999999999999</v>
      </c>
      <c r="M17" s="564">
        <f t="shared" si="2"/>
        <v>27.074999999999999</v>
      </c>
      <c r="N17" s="566">
        <v>10.9</v>
      </c>
      <c r="O17" s="567">
        <f t="shared" si="3"/>
        <v>10.9</v>
      </c>
      <c r="P17" s="234"/>
      <c r="Q17" s="235"/>
      <c r="S17" s="202"/>
      <c r="T17" s="202"/>
      <c r="U17" s="202"/>
      <c r="V17" s="202"/>
    </row>
    <row r="18" spans="1:22" ht="15.75">
      <c r="A18" s="277" t="s">
        <v>1163</v>
      </c>
      <c r="B18" s="235" t="s">
        <v>1164</v>
      </c>
      <c r="C18" s="462">
        <v>1100018161</v>
      </c>
      <c r="D18" s="462">
        <v>50</v>
      </c>
      <c r="E18" s="342"/>
      <c r="F18" s="235" t="s">
        <v>192</v>
      </c>
      <c r="G18" s="342">
        <v>50</v>
      </c>
      <c r="H18" s="561">
        <v>15</v>
      </c>
      <c r="I18" s="562">
        <f t="shared" si="1"/>
        <v>14.25</v>
      </c>
      <c r="J18" s="563">
        <v>659</v>
      </c>
      <c r="K18" s="564">
        <f t="shared" si="0"/>
        <v>494.25</v>
      </c>
      <c r="L18" s="565">
        <f>(494.25*5)/50</f>
        <v>49.424999999999997</v>
      </c>
      <c r="M18" s="564">
        <f t="shared" si="2"/>
        <v>49.424999999999997</v>
      </c>
      <c r="N18" s="566">
        <v>16.5</v>
      </c>
      <c r="O18" s="567">
        <f t="shared" si="3"/>
        <v>16.5</v>
      </c>
      <c r="P18" s="234"/>
      <c r="Q18" s="235"/>
      <c r="S18" s="202"/>
      <c r="T18" s="202"/>
      <c r="U18" s="202"/>
      <c r="V18" s="202"/>
    </row>
    <row r="19" spans="1:22" ht="15.75">
      <c r="A19" s="277" t="s">
        <v>1165</v>
      </c>
      <c r="B19" s="235" t="s">
        <v>1166</v>
      </c>
      <c r="C19" s="462">
        <v>1100018161</v>
      </c>
      <c r="D19" s="462">
        <v>60</v>
      </c>
      <c r="E19" s="342"/>
      <c r="F19" s="235" t="s">
        <v>192</v>
      </c>
      <c r="G19" s="342">
        <v>30</v>
      </c>
      <c r="H19" s="561">
        <v>35.85</v>
      </c>
      <c r="I19" s="562">
        <f t="shared" si="1"/>
        <v>34.057499999999997</v>
      </c>
      <c r="J19" s="563">
        <v>1069</v>
      </c>
      <c r="K19" s="564">
        <f t="shared" si="0"/>
        <v>801.75</v>
      </c>
      <c r="L19" s="565">
        <f>(801.75*3)/30</f>
        <v>80.174999999999997</v>
      </c>
      <c r="M19" s="564">
        <f t="shared" si="2"/>
        <v>80.174999999999997</v>
      </c>
      <c r="N19" s="70">
        <v>39.450000000000003</v>
      </c>
      <c r="O19" s="567">
        <f t="shared" si="3"/>
        <v>39.450000000000003</v>
      </c>
      <c r="P19" s="234"/>
      <c r="Q19" s="235"/>
      <c r="S19" s="202"/>
      <c r="T19" s="202"/>
      <c r="U19" s="202"/>
      <c r="V19" s="202"/>
    </row>
    <row r="20" spans="1:22" ht="15.75">
      <c r="A20" s="277" t="s">
        <v>1167</v>
      </c>
      <c r="B20" s="235" t="s">
        <v>1168</v>
      </c>
      <c r="C20" s="462">
        <v>1100018161</v>
      </c>
      <c r="D20" s="462">
        <v>70</v>
      </c>
      <c r="E20" s="342"/>
      <c r="F20" s="235" t="s">
        <v>192</v>
      </c>
      <c r="G20" s="342">
        <v>50</v>
      </c>
      <c r="H20" s="561">
        <v>10.7</v>
      </c>
      <c r="I20" s="562">
        <f t="shared" si="1"/>
        <v>10.164999999999999</v>
      </c>
      <c r="J20" s="563">
        <v>167</v>
      </c>
      <c r="K20" s="564">
        <f t="shared" si="0"/>
        <v>125.25</v>
      </c>
      <c r="L20" s="565">
        <f>(125.25*5)/50</f>
        <v>12.525</v>
      </c>
      <c r="M20" s="564">
        <f t="shared" si="2"/>
        <v>12.525</v>
      </c>
      <c r="N20" s="566">
        <v>11.7</v>
      </c>
      <c r="O20" s="567">
        <f t="shared" si="3"/>
        <v>11.7</v>
      </c>
      <c r="P20" s="234"/>
      <c r="Q20" s="235"/>
      <c r="R20" s="568"/>
      <c r="S20" s="202"/>
      <c r="T20" s="202"/>
      <c r="U20" s="202"/>
      <c r="V20" s="202"/>
    </row>
    <row r="21" spans="1:22" ht="15.75">
      <c r="A21" s="277" t="s">
        <v>1169</v>
      </c>
      <c r="B21" s="235" t="s">
        <v>1170</v>
      </c>
      <c r="C21" s="462">
        <v>1100018161</v>
      </c>
      <c r="D21" s="462">
        <v>80</v>
      </c>
      <c r="E21" s="342"/>
      <c r="F21" s="235" t="s">
        <v>192</v>
      </c>
      <c r="G21" s="342">
        <v>50</v>
      </c>
      <c r="H21" s="561">
        <v>11.55</v>
      </c>
      <c r="I21" s="562">
        <f t="shared" si="1"/>
        <v>10.9725</v>
      </c>
      <c r="J21" s="563">
        <v>206</v>
      </c>
      <c r="K21" s="564">
        <f t="shared" si="0"/>
        <v>154.5</v>
      </c>
      <c r="L21" s="565">
        <f>(154.5*5)/50</f>
        <v>15.45</v>
      </c>
      <c r="M21" s="564">
        <f t="shared" si="2"/>
        <v>15.45</v>
      </c>
      <c r="N21" s="566">
        <v>12.7</v>
      </c>
      <c r="O21" s="567">
        <f t="shared" si="3"/>
        <v>12.7</v>
      </c>
      <c r="P21" s="234"/>
      <c r="Q21" s="235"/>
      <c r="S21" s="202"/>
      <c r="T21" s="202"/>
      <c r="U21" s="202"/>
      <c r="V21" s="202"/>
    </row>
    <row r="22" spans="1:22" ht="15.75">
      <c r="A22" s="277" t="s">
        <v>1171</v>
      </c>
      <c r="B22" s="235" t="s">
        <v>1172</v>
      </c>
      <c r="C22" s="462">
        <v>1100018161</v>
      </c>
      <c r="D22" s="462">
        <v>90</v>
      </c>
      <c r="E22" s="342"/>
      <c r="F22" s="235" t="s">
        <v>192</v>
      </c>
      <c r="G22" s="342">
        <v>50</v>
      </c>
      <c r="H22" s="561">
        <v>13</v>
      </c>
      <c r="I22" s="562">
        <f t="shared" si="1"/>
        <v>12.35</v>
      </c>
      <c r="J22" s="563">
        <v>229</v>
      </c>
      <c r="K22" s="564">
        <f t="shared" si="0"/>
        <v>171.75</v>
      </c>
      <c r="L22" s="565">
        <f>(171.75*5)/50</f>
        <v>17.175000000000001</v>
      </c>
      <c r="M22" s="564">
        <f t="shared" si="2"/>
        <v>17.175000000000001</v>
      </c>
      <c r="N22" s="566">
        <v>14.3</v>
      </c>
      <c r="O22" s="567">
        <f t="shared" si="3"/>
        <v>14.3</v>
      </c>
      <c r="P22" s="234"/>
      <c r="Q22" s="235"/>
      <c r="R22" s="234" t="s">
        <v>1157</v>
      </c>
      <c r="S22" s="235" t="s">
        <v>150</v>
      </c>
      <c r="T22" s="202"/>
      <c r="U22" s="202"/>
      <c r="V22" s="202"/>
    </row>
    <row r="23" spans="1:22" ht="15.75">
      <c r="A23" s="277" t="s">
        <v>1173</v>
      </c>
      <c r="B23" s="235" t="s">
        <v>1174</v>
      </c>
      <c r="C23" s="462">
        <v>1100018161</v>
      </c>
      <c r="D23" s="462">
        <v>100</v>
      </c>
      <c r="E23" s="342"/>
      <c r="F23" s="235" t="s">
        <v>192</v>
      </c>
      <c r="G23" s="342">
        <v>50</v>
      </c>
      <c r="H23" s="561">
        <v>14.5</v>
      </c>
      <c r="I23" s="562">
        <f t="shared" si="1"/>
        <v>13.774999999999999</v>
      </c>
      <c r="J23" s="563">
        <v>472</v>
      </c>
      <c r="K23" s="564">
        <f t="shared" si="0"/>
        <v>354</v>
      </c>
      <c r="L23" s="565">
        <f>(354*5)/50</f>
        <v>35.4</v>
      </c>
      <c r="M23" s="564">
        <f t="shared" si="2"/>
        <v>35.4</v>
      </c>
      <c r="N23" s="566">
        <v>15.95</v>
      </c>
      <c r="O23" s="567">
        <f t="shared" si="3"/>
        <v>15.95</v>
      </c>
      <c r="P23" s="234"/>
      <c r="Q23" s="235"/>
      <c r="S23" s="202"/>
      <c r="T23" s="202"/>
      <c r="U23" s="202"/>
      <c r="V23" s="202"/>
    </row>
    <row r="24" spans="1:22" ht="15.75">
      <c r="A24" s="277" t="s">
        <v>1175</v>
      </c>
      <c r="B24" s="235" t="s">
        <v>1176</v>
      </c>
      <c r="C24" s="462">
        <v>1100018161</v>
      </c>
      <c r="D24" s="462">
        <v>110</v>
      </c>
      <c r="E24" s="342"/>
      <c r="F24" s="235" t="s">
        <v>192</v>
      </c>
      <c r="G24" s="342">
        <v>30</v>
      </c>
      <c r="H24" s="561">
        <v>24.2</v>
      </c>
      <c r="I24" s="562">
        <f t="shared" si="1"/>
        <v>22.99</v>
      </c>
      <c r="J24" s="563">
        <v>883</v>
      </c>
      <c r="K24" s="564">
        <f t="shared" si="0"/>
        <v>662.25</v>
      </c>
      <c r="L24" s="565">
        <f>(662.25*3)/30</f>
        <v>66.224999999999994</v>
      </c>
      <c r="M24" s="564">
        <f t="shared" si="2"/>
        <v>66.224999999999994</v>
      </c>
      <c r="N24" s="566">
        <v>26.6</v>
      </c>
      <c r="O24" s="567">
        <f t="shared" si="3"/>
        <v>26.6</v>
      </c>
      <c r="P24" s="234"/>
      <c r="Q24" s="235"/>
      <c r="S24" s="202"/>
      <c r="T24" s="202"/>
      <c r="U24" s="202"/>
      <c r="V24" s="202"/>
    </row>
    <row r="25" spans="1:22" ht="15.75">
      <c r="A25" s="277" t="s">
        <v>1177</v>
      </c>
      <c r="B25" s="235" t="s">
        <v>1178</v>
      </c>
      <c r="C25" s="462">
        <v>1100018161</v>
      </c>
      <c r="D25" s="462">
        <v>120</v>
      </c>
      <c r="E25" s="342"/>
      <c r="F25" s="235" t="s">
        <v>192</v>
      </c>
      <c r="G25" s="342">
        <v>30</v>
      </c>
      <c r="H25" s="561">
        <v>57.75</v>
      </c>
      <c r="I25" s="562">
        <f t="shared" si="1"/>
        <v>54.862499999999997</v>
      </c>
      <c r="J25" s="563">
        <v>1554</v>
      </c>
      <c r="K25" s="564">
        <f t="shared" si="0"/>
        <v>1165.5</v>
      </c>
      <c r="L25" s="565">
        <f>(1165.5*3)/30</f>
        <v>116.55</v>
      </c>
      <c r="M25" s="564">
        <f t="shared" si="2"/>
        <v>116.55</v>
      </c>
      <c r="N25" s="566">
        <v>63.5</v>
      </c>
      <c r="O25" s="567">
        <f t="shared" si="3"/>
        <v>63.5</v>
      </c>
      <c r="P25" s="234"/>
      <c r="Q25" s="235"/>
      <c r="S25" s="202"/>
      <c r="T25" s="202"/>
      <c r="U25" s="202"/>
      <c r="V25" s="202"/>
    </row>
    <row r="26" spans="1:22" ht="15.75">
      <c r="A26" s="277" t="s">
        <v>1179</v>
      </c>
      <c r="B26" s="235" t="s">
        <v>1180</v>
      </c>
      <c r="C26" s="462">
        <v>1100018161</v>
      </c>
      <c r="D26" s="462">
        <v>130</v>
      </c>
      <c r="E26" s="342"/>
      <c r="F26" s="235" t="s">
        <v>192</v>
      </c>
      <c r="G26" s="342">
        <v>50</v>
      </c>
      <c r="H26" s="561">
        <v>17.600000000000001</v>
      </c>
      <c r="I26" s="562">
        <f t="shared" si="1"/>
        <v>16.72</v>
      </c>
      <c r="J26" s="563">
        <v>261</v>
      </c>
      <c r="K26" s="564">
        <f t="shared" si="0"/>
        <v>195.75</v>
      </c>
      <c r="L26" s="565">
        <f>(195.75*5)/50</f>
        <v>19.574999999999999</v>
      </c>
      <c r="M26" s="564">
        <f t="shared" si="2"/>
        <v>19.574999999999999</v>
      </c>
      <c r="N26" s="70">
        <v>19.350000000000001</v>
      </c>
      <c r="O26" s="567">
        <f t="shared" si="3"/>
        <v>19.350000000000001</v>
      </c>
      <c r="P26" s="234"/>
      <c r="Q26" s="235"/>
      <c r="S26" s="202"/>
      <c r="T26" s="202"/>
      <c r="U26" s="202"/>
      <c r="V26" s="202"/>
    </row>
    <row r="27" spans="1:22" ht="15.75">
      <c r="A27" s="277" t="s">
        <v>1181</v>
      </c>
      <c r="B27" s="235" t="s">
        <v>1182</v>
      </c>
      <c r="C27" s="462">
        <v>1100018161</v>
      </c>
      <c r="D27" s="462">
        <v>140</v>
      </c>
      <c r="E27" s="342"/>
      <c r="F27" s="235" t="s">
        <v>192</v>
      </c>
      <c r="G27" s="342">
        <v>50</v>
      </c>
      <c r="H27" s="561">
        <v>19.350000000000001</v>
      </c>
      <c r="I27" s="562">
        <f t="shared" si="1"/>
        <v>18.3825</v>
      </c>
      <c r="J27" s="563">
        <v>298</v>
      </c>
      <c r="K27" s="564">
        <f t="shared" si="0"/>
        <v>223.5</v>
      </c>
      <c r="L27" s="565">
        <f>(223.5*5)/50</f>
        <v>22.35</v>
      </c>
      <c r="M27" s="564">
        <f t="shared" si="2"/>
        <v>22.35</v>
      </c>
      <c r="N27" s="566">
        <v>21.28</v>
      </c>
      <c r="O27" s="567">
        <f t="shared" si="3"/>
        <v>21.28</v>
      </c>
      <c r="P27" s="234"/>
      <c r="Q27" s="235"/>
      <c r="R27" s="568"/>
      <c r="S27" s="202"/>
      <c r="T27" s="202"/>
      <c r="U27" s="202"/>
      <c r="V27" s="202"/>
    </row>
    <row r="28" spans="1:22" ht="15.75">
      <c r="A28" s="277" t="s">
        <v>1183</v>
      </c>
      <c r="B28" s="235" t="s">
        <v>1184</v>
      </c>
      <c r="C28" s="462">
        <v>1100018161</v>
      </c>
      <c r="D28" s="462">
        <v>150</v>
      </c>
      <c r="E28" s="342"/>
      <c r="F28" s="235" t="s">
        <v>192</v>
      </c>
      <c r="G28" s="342">
        <v>50</v>
      </c>
      <c r="H28" s="561">
        <v>22.9</v>
      </c>
      <c r="I28" s="562">
        <f t="shared" si="1"/>
        <v>21.754999999999999</v>
      </c>
      <c r="J28" s="563">
        <v>390</v>
      </c>
      <c r="K28" s="564">
        <f t="shared" si="0"/>
        <v>292.5</v>
      </c>
      <c r="L28" s="565">
        <f>(292.5*5)/50</f>
        <v>29.25</v>
      </c>
      <c r="M28" s="564">
        <f t="shared" si="2"/>
        <v>29.25</v>
      </c>
      <c r="N28" s="566">
        <v>25.2</v>
      </c>
      <c r="O28" s="567">
        <f t="shared" si="3"/>
        <v>25.2</v>
      </c>
      <c r="P28" s="234"/>
      <c r="Q28" s="235"/>
      <c r="S28" s="202"/>
      <c r="T28" s="202"/>
      <c r="U28" s="202"/>
      <c r="V28" s="202"/>
    </row>
    <row r="29" spans="1:22" ht="15.75">
      <c r="A29" s="277" t="s">
        <v>1185</v>
      </c>
      <c r="B29" s="235" t="s">
        <v>1186</v>
      </c>
      <c r="C29" s="462">
        <v>1100018161</v>
      </c>
      <c r="D29" s="462">
        <v>160</v>
      </c>
      <c r="E29" s="342"/>
      <c r="F29" s="235" t="s">
        <v>192</v>
      </c>
      <c r="G29" s="342">
        <v>50</v>
      </c>
      <c r="H29" s="561">
        <v>25.2</v>
      </c>
      <c r="I29" s="562">
        <f t="shared" si="1"/>
        <v>23.939999999999998</v>
      </c>
      <c r="J29" s="563">
        <v>758</v>
      </c>
      <c r="K29" s="564">
        <f t="shared" si="0"/>
        <v>568.5</v>
      </c>
      <c r="L29" s="565">
        <f>(568.5*5)/50</f>
        <v>56.85</v>
      </c>
      <c r="M29" s="564">
        <f t="shared" si="2"/>
        <v>56.85</v>
      </c>
      <c r="N29" s="566">
        <v>27.7</v>
      </c>
      <c r="O29" s="567">
        <f t="shared" si="3"/>
        <v>27.7</v>
      </c>
      <c r="P29" s="234"/>
      <c r="Q29" s="235"/>
      <c r="R29" s="234" t="s">
        <v>1157</v>
      </c>
      <c r="S29" s="235" t="s">
        <v>150</v>
      </c>
      <c r="T29" s="202"/>
      <c r="U29" s="202"/>
      <c r="V29" s="202"/>
    </row>
    <row r="30" spans="1:22" ht="15.75">
      <c r="A30" s="277" t="s">
        <v>1187</v>
      </c>
      <c r="B30" s="235" t="s">
        <v>1188</v>
      </c>
      <c r="C30" s="462">
        <v>1100018161</v>
      </c>
      <c r="D30" s="462">
        <v>170</v>
      </c>
      <c r="E30" s="342"/>
      <c r="F30" s="235" t="s">
        <v>192</v>
      </c>
      <c r="G30" s="342">
        <v>30</v>
      </c>
      <c r="H30" s="561">
        <v>42.45</v>
      </c>
      <c r="I30" s="562">
        <f t="shared" si="1"/>
        <v>40.327500000000001</v>
      </c>
      <c r="J30" s="563">
        <v>1367</v>
      </c>
      <c r="K30" s="564">
        <f t="shared" si="0"/>
        <v>1025.25</v>
      </c>
      <c r="L30" s="565">
        <f>(1025.25*3)/30</f>
        <v>102.52500000000001</v>
      </c>
      <c r="M30" s="564">
        <f t="shared" si="2"/>
        <v>102.52500000000001</v>
      </c>
      <c r="N30" s="566">
        <v>46.7</v>
      </c>
      <c r="O30" s="567">
        <f t="shared" si="3"/>
        <v>46.7</v>
      </c>
      <c r="P30" s="234"/>
      <c r="Q30" s="235"/>
      <c r="R30" s="234" t="s">
        <v>1157</v>
      </c>
      <c r="S30" s="235" t="s">
        <v>150</v>
      </c>
      <c r="T30" s="202"/>
      <c r="U30" s="202"/>
      <c r="V30" s="202"/>
    </row>
    <row r="31" spans="1:22" ht="15.75">
      <c r="A31" s="277" t="s">
        <v>1189</v>
      </c>
      <c r="B31" s="235" t="s">
        <v>1190</v>
      </c>
      <c r="C31" s="462">
        <v>1100018161</v>
      </c>
      <c r="D31" s="462">
        <v>180</v>
      </c>
      <c r="E31" s="342"/>
      <c r="F31" s="235" t="s">
        <v>192</v>
      </c>
      <c r="G31" s="342">
        <v>30</v>
      </c>
      <c r="H31" s="561">
        <v>101.2</v>
      </c>
      <c r="I31" s="562">
        <f t="shared" si="1"/>
        <v>96.14</v>
      </c>
      <c r="J31" s="563">
        <v>2437</v>
      </c>
      <c r="K31" s="564">
        <f t="shared" si="0"/>
        <v>1827.75</v>
      </c>
      <c r="L31" s="565">
        <f>(1827.75*3)/30</f>
        <v>182.77500000000001</v>
      </c>
      <c r="M31" s="564">
        <f t="shared" si="2"/>
        <v>182.77500000000001</v>
      </c>
      <c r="N31" s="566">
        <v>111.3</v>
      </c>
      <c r="O31" s="567">
        <f t="shared" si="3"/>
        <v>111.3</v>
      </c>
      <c r="P31" s="234"/>
      <c r="Q31" s="235"/>
      <c r="S31" s="202"/>
      <c r="T31" s="202"/>
      <c r="U31" s="202"/>
      <c r="V31" s="202"/>
    </row>
    <row r="32" spans="1:22" ht="15.75">
      <c r="A32" s="277" t="s">
        <v>1191</v>
      </c>
      <c r="B32" s="235" t="s">
        <v>1192</v>
      </c>
      <c r="C32" s="462">
        <v>1100018161</v>
      </c>
      <c r="D32" s="462">
        <v>190</v>
      </c>
      <c r="E32" s="342"/>
      <c r="F32" s="235" t="s">
        <v>192</v>
      </c>
      <c r="G32" s="342">
        <v>50</v>
      </c>
      <c r="H32" s="561">
        <v>26.85</v>
      </c>
      <c r="I32" s="562">
        <f t="shared" si="1"/>
        <v>25.5075</v>
      </c>
      <c r="J32" s="563">
        <v>448</v>
      </c>
      <c r="K32" s="564">
        <f t="shared" si="0"/>
        <v>336</v>
      </c>
      <c r="L32" s="565">
        <f>(336*5)/50</f>
        <v>33.6</v>
      </c>
      <c r="M32" s="564">
        <f t="shared" si="2"/>
        <v>33.6</v>
      </c>
      <c r="N32" s="566">
        <v>29.55</v>
      </c>
      <c r="O32" s="567">
        <f t="shared" si="3"/>
        <v>29.55</v>
      </c>
      <c r="P32" s="234"/>
      <c r="Q32" s="235"/>
      <c r="S32" s="202"/>
      <c r="T32" s="202"/>
      <c r="U32" s="202"/>
      <c r="V32" s="202"/>
    </row>
    <row r="33" spans="1:22" ht="15.75">
      <c r="A33" s="277" t="s">
        <v>1193</v>
      </c>
      <c r="B33" s="235" t="s">
        <v>1194</v>
      </c>
      <c r="C33" s="462">
        <v>1100018161</v>
      </c>
      <c r="D33" s="462">
        <v>200</v>
      </c>
      <c r="E33" s="342"/>
      <c r="F33" s="235" t="s">
        <v>192</v>
      </c>
      <c r="G33" s="342">
        <v>50</v>
      </c>
      <c r="H33" s="561">
        <v>31.55</v>
      </c>
      <c r="I33" s="562">
        <f t="shared" si="1"/>
        <v>29.9725</v>
      </c>
      <c r="J33" s="563">
        <v>485</v>
      </c>
      <c r="K33" s="564">
        <f t="shared" si="0"/>
        <v>363.75</v>
      </c>
      <c r="L33" s="565">
        <f>(363.75*5)/50</f>
        <v>36.375</v>
      </c>
      <c r="M33" s="564">
        <f t="shared" si="2"/>
        <v>36.375</v>
      </c>
      <c r="N33" s="566">
        <v>34.700000000000003</v>
      </c>
      <c r="O33" s="567">
        <f t="shared" si="3"/>
        <v>34.700000000000003</v>
      </c>
      <c r="P33" s="234"/>
      <c r="Q33" s="235"/>
      <c r="S33" s="202"/>
      <c r="T33" s="202"/>
      <c r="U33" s="202"/>
      <c r="V33" s="202"/>
    </row>
    <row r="34" spans="1:22" ht="15.75">
      <c r="A34" s="277" t="s">
        <v>1195</v>
      </c>
      <c r="B34" s="235" t="s">
        <v>1196</v>
      </c>
      <c r="C34" s="462">
        <v>1100018161</v>
      </c>
      <c r="D34" s="462">
        <v>210</v>
      </c>
      <c r="E34" s="342"/>
      <c r="F34" s="235" t="s">
        <v>192</v>
      </c>
      <c r="G34" s="342">
        <v>50</v>
      </c>
      <c r="H34" s="561">
        <v>39.5</v>
      </c>
      <c r="I34" s="562">
        <f t="shared" si="1"/>
        <v>37.524999999999999</v>
      </c>
      <c r="J34" s="563">
        <v>584</v>
      </c>
      <c r="K34" s="564">
        <f t="shared" si="0"/>
        <v>438</v>
      </c>
      <c r="L34" s="565">
        <f>(438*5)/50</f>
        <v>43.8</v>
      </c>
      <c r="M34" s="564">
        <f t="shared" si="2"/>
        <v>43.8</v>
      </c>
      <c r="N34" s="566">
        <v>43.45</v>
      </c>
      <c r="O34" s="567">
        <f t="shared" si="3"/>
        <v>43.45</v>
      </c>
      <c r="P34" s="234"/>
      <c r="Q34" s="235"/>
      <c r="S34" s="202"/>
      <c r="T34" s="202"/>
      <c r="U34" s="202"/>
      <c r="V34" s="202"/>
    </row>
    <row r="35" spans="1:22" ht="15.75">
      <c r="A35" s="277" t="s">
        <v>1197</v>
      </c>
      <c r="B35" s="235" t="s">
        <v>1198</v>
      </c>
      <c r="C35" s="462">
        <v>1100018161</v>
      </c>
      <c r="D35" s="462">
        <v>220</v>
      </c>
      <c r="E35" s="342"/>
      <c r="F35" s="235" t="s">
        <v>192</v>
      </c>
      <c r="G35" s="342">
        <v>30</v>
      </c>
      <c r="H35" s="561">
        <v>46.65</v>
      </c>
      <c r="I35" s="562">
        <f t="shared" si="1"/>
        <v>44.317499999999995</v>
      </c>
      <c r="J35" s="563">
        <v>1430</v>
      </c>
      <c r="K35" s="564">
        <f t="shared" si="0"/>
        <v>1072.5</v>
      </c>
      <c r="L35" s="565">
        <f>(1072.5*3)/30</f>
        <v>107.25</v>
      </c>
      <c r="M35" s="564">
        <f t="shared" si="2"/>
        <v>107.25</v>
      </c>
      <c r="N35" s="70">
        <v>52.31</v>
      </c>
      <c r="O35" s="567">
        <f t="shared" si="3"/>
        <v>52.31</v>
      </c>
      <c r="P35" s="234"/>
      <c r="Q35" s="235"/>
      <c r="S35" s="202"/>
      <c r="T35" s="202"/>
      <c r="U35" s="202"/>
      <c r="V35" s="202"/>
    </row>
    <row r="36" spans="1:22" ht="15.75">
      <c r="A36" s="277" t="s">
        <v>1199</v>
      </c>
      <c r="B36" s="235" t="s">
        <v>1200</v>
      </c>
      <c r="C36" s="462">
        <v>1100018161</v>
      </c>
      <c r="D36" s="462">
        <v>230</v>
      </c>
      <c r="E36" s="342"/>
      <c r="F36" s="235" t="s">
        <v>192</v>
      </c>
      <c r="G36" s="342">
        <v>30</v>
      </c>
      <c r="H36" s="561">
        <v>68.2</v>
      </c>
      <c r="I36" s="562">
        <f t="shared" si="1"/>
        <v>64.790000000000006</v>
      </c>
      <c r="J36" s="563">
        <v>2374</v>
      </c>
      <c r="K36" s="564">
        <f t="shared" si="0"/>
        <v>1780.5</v>
      </c>
      <c r="L36" s="565">
        <f>(1780.5*3)/30</f>
        <v>178.05</v>
      </c>
      <c r="M36" s="564">
        <f t="shared" si="2"/>
        <v>178.05</v>
      </c>
      <c r="N36" s="566">
        <v>75</v>
      </c>
      <c r="O36" s="567">
        <f t="shared" si="3"/>
        <v>75</v>
      </c>
      <c r="P36" s="234"/>
      <c r="Q36" s="235"/>
      <c r="R36" s="568"/>
      <c r="S36" s="202"/>
      <c r="T36" s="202"/>
      <c r="U36" s="202"/>
      <c r="V36" s="202"/>
    </row>
    <row r="37" spans="1:22" ht="15.75">
      <c r="A37" s="277" t="s">
        <v>1201</v>
      </c>
      <c r="B37" s="235" t="s">
        <v>1202</v>
      </c>
      <c r="C37" s="462">
        <v>1100018161</v>
      </c>
      <c r="D37" s="462">
        <v>240</v>
      </c>
      <c r="E37" s="342"/>
      <c r="F37" s="235" t="s">
        <v>192</v>
      </c>
      <c r="G37" s="342">
        <v>20</v>
      </c>
      <c r="H37" s="561">
        <v>162.25</v>
      </c>
      <c r="I37" s="562">
        <f t="shared" si="1"/>
        <v>154.13749999999999</v>
      </c>
      <c r="J37" s="563">
        <v>3854</v>
      </c>
      <c r="K37" s="564">
        <f t="shared" si="0"/>
        <v>2890.5</v>
      </c>
      <c r="L37" s="565">
        <f>(2890.5*2)/20</f>
        <v>289.05</v>
      </c>
      <c r="M37" s="564">
        <f t="shared" si="2"/>
        <v>289.05</v>
      </c>
      <c r="N37" s="566">
        <v>178.45</v>
      </c>
      <c r="O37" s="567">
        <f t="shared" si="3"/>
        <v>178.45</v>
      </c>
      <c r="P37" s="234"/>
      <c r="Q37" s="235"/>
      <c r="S37" s="202"/>
      <c r="T37" s="202"/>
      <c r="U37" s="202"/>
      <c r="V37" s="202"/>
    </row>
    <row r="38" spans="1:22" ht="15.75" thickBot="1">
      <c r="A38" s="245"/>
      <c r="B38" s="569"/>
      <c r="C38" s="570"/>
      <c r="D38" s="570"/>
      <c r="E38" s="244"/>
      <c r="F38" s="571"/>
      <c r="G38" s="245"/>
      <c r="H38" s="572"/>
      <c r="I38" s="85"/>
      <c r="J38" s="572"/>
      <c r="K38" s="83"/>
      <c r="L38" s="573"/>
      <c r="M38" s="83"/>
      <c r="N38" s="248"/>
      <c r="O38" s="89"/>
      <c r="P38" s="574"/>
      <c r="Q38" s="574"/>
      <c r="S38" s="202"/>
      <c r="T38" s="202"/>
      <c r="U38" s="202"/>
      <c r="V38" s="202"/>
    </row>
    <row r="39" spans="1:22" s="7" customFormat="1" ht="13.5" thickBot="1">
      <c r="A39" s="90" t="s">
        <v>58</v>
      </c>
      <c r="B39" s="91"/>
      <c r="C39" s="91"/>
      <c r="D39" s="91"/>
      <c r="E39" s="373">
        <f>SUMPRODUCT(E14:E38, $G$14:$G$38)</f>
        <v>0</v>
      </c>
      <c r="F39" s="93"/>
      <c r="G39" s="575">
        <f>SUM(G14:G38)</f>
        <v>1030</v>
      </c>
      <c r="H39" s="373">
        <f t="shared" ref="H39:O39" si="4">SUMPRODUCT(H13:H38, $G$13:$G$38)</f>
        <v>28581.5</v>
      </c>
      <c r="I39" s="373">
        <f t="shared" si="4"/>
        <v>27152.425000000003</v>
      </c>
      <c r="J39" s="373">
        <f t="shared" si="4"/>
        <v>701000</v>
      </c>
      <c r="K39" s="373">
        <f t="shared" si="4"/>
        <v>525750</v>
      </c>
      <c r="L39" s="373">
        <f t="shared" si="4"/>
        <v>52575</v>
      </c>
      <c r="M39" s="373">
        <f t="shared" si="4"/>
        <v>52575</v>
      </c>
      <c r="N39" s="373">
        <f t="shared" si="4"/>
        <v>31463.8</v>
      </c>
      <c r="O39" s="373">
        <f t="shared" si="4"/>
        <v>31463.8</v>
      </c>
      <c r="P39" s="432"/>
      <c r="Q39" s="374"/>
      <c r="R39" s="431"/>
      <c r="S39" s="576"/>
      <c r="T39" s="576"/>
      <c r="U39" s="577"/>
      <c r="V39" s="576"/>
    </row>
    <row r="40" spans="1:22">
      <c r="A40" s="1860" t="s">
        <v>59</v>
      </c>
      <c r="B40" s="1861"/>
      <c r="C40" s="533"/>
      <c r="D40" s="533"/>
      <c r="E40" s="97"/>
      <c r="F40" s="97"/>
      <c r="G40" s="376"/>
      <c r="H40" s="377"/>
      <c r="I40" s="378"/>
      <c r="J40" s="377"/>
      <c r="K40" s="378"/>
      <c r="L40" s="377"/>
      <c r="M40" s="378"/>
      <c r="N40" s="379"/>
      <c r="O40" s="377"/>
      <c r="S40" s="202"/>
      <c r="T40" s="202"/>
      <c r="U40" s="578"/>
      <c r="V40" s="202"/>
    </row>
    <row r="41" spans="1:22">
      <c r="A41" s="534" t="s">
        <v>60</v>
      </c>
      <c r="B41" s="535"/>
      <c r="C41" s="533"/>
      <c r="D41" s="533"/>
      <c r="E41" s="97"/>
      <c r="F41" s="97"/>
      <c r="G41" s="376"/>
      <c r="H41" s="380"/>
      <c r="I41" s="381" t="s">
        <v>61</v>
      </c>
      <c r="J41" s="380"/>
      <c r="K41" s="381" t="s">
        <v>61</v>
      </c>
      <c r="L41" s="380"/>
      <c r="M41" s="381" t="s">
        <v>61</v>
      </c>
      <c r="N41" s="380"/>
      <c r="O41" s="381" t="s">
        <v>61</v>
      </c>
    </row>
    <row r="42" spans="1:22">
      <c r="A42" s="1862" t="s">
        <v>62</v>
      </c>
      <c r="B42" s="1863"/>
      <c r="C42" s="533"/>
      <c r="D42" s="533"/>
      <c r="E42" s="97"/>
      <c r="F42" s="97"/>
      <c r="G42" s="376"/>
      <c r="H42" s="380"/>
      <c r="I42" s="381"/>
      <c r="J42" s="380"/>
      <c r="K42" s="381"/>
      <c r="L42" s="380"/>
      <c r="M42" s="381"/>
      <c r="N42" s="380"/>
      <c r="O42" s="381"/>
    </row>
    <row r="43" spans="1:22" ht="12.95" customHeight="1">
      <c r="A43" s="107" t="s">
        <v>63</v>
      </c>
      <c r="B43" s="108"/>
      <c r="C43" s="108"/>
      <c r="D43" s="108"/>
      <c r="E43" s="108"/>
      <c r="F43" s="108"/>
      <c r="G43" s="109"/>
      <c r="H43" s="110">
        <v>0</v>
      </c>
      <c r="I43" s="110">
        <v>0</v>
      </c>
      <c r="J43" s="110">
        <v>0.125</v>
      </c>
      <c r="K43" s="110">
        <v>0.125</v>
      </c>
      <c r="L43" s="110">
        <v>0.125</v>
      </c>
      <c r="M43" s="110">
        <v>0.125</v>
      </c>
      <c r="N43" s="110">
        <v>0</v>
      </c>
      <c r="O43" s="110">
        <v>0</v>
      </c>
    </row>
    <row r="44" spans="1:22" ht="12.95" customHeight="1">
      <c r="A44" s="107"/>
      <c r="B44" s="108" t="s">
        <v>64</v>
      </c>
      <c r="C44" s="108"/>
      <c r="D44" s="108"/>
      <c r="E44" s="111"/>
      <c r="F44" s="111"/>
      <c r="G44" s="112"/>
      <c r="H44" s="384">
        <f>(H39+H40+H41+H42)*H43</f>
        <v>0</v>
      </c>
      <c r="I44" s="385">
        <f>(I39+I40+I42)*I43</f>
        <v>0</v>
      </c>
      <c r="J44" s="384">
        <f>(J39+J40+J41+J42)*J43</f>
        <v>87625</v>
      </c>
      <c r="K44" s="385">
        <f>(K39+K40+K42)*K43</f>
        <v>65718.75</v>
      </c>
      <c r="L44" s="384">
        <f>(L39+L40+L41+L42)*L43</f>
        <v>6571.875</v>
      </c>
      <c r="M44" s="385">
        <f>(M39+M40+M42)*M43</f>
        <v>6571.875</v>
      </c>
      <c r="N44" s="384">
        <f>(N39+N40+N41+N42)*N43</f>
        <v>0</v>
      </c>
      <c r="O44" s="385">
        <f>(O39+O40+O42)*O43</f>
        <v>0</v>
      </c>
    </row>
    <row r="45" spans="1:22">
      <c r="A45" s="1862" t="s">
        <v>65</v>
      </c>
      <c r="B45" s="1863"/>
      <c r="C45" s="535"/>
      <c r="D45" s="535"/>
      <c r="E45" s="111"/>
      <c r="F45" s="116"/>
      <c r="G45" s="117"/>
      <c r="H45" s="387"/>
      <c r="I45" s="387"/>
      <c r="J45" s="387">
        <v>0.125</v>
      </c>
      <c r="K45" s="387">
        <v>0.125</v>
      </c>
      <c r="L45" s="387">
        <v>0.125</v>
      </c>
      <c r="M45" s="387">
        <v>0.125</v>
      </c>
      <c r="N45" s="387"/>
      <c r="O45" s="387"/>
    </row>
    <row r="46" spans="1:22" ht="12.95" customHeight="1">
      <c r="A46" s="534"/>
      <c r="B46" s="535" t="s">
        <v>66</v>
      </c>
      <c r="C46" s="535"/>
      <c r="D46" s="535"/>
      <c r="E46" s="111"/>
      <c r="F46" s="116"/>
      <c r="G46" s="117"/>
      <c r="H46" s="384">
        <f>(H44+H40+H41+H42+H39)*H45</f>
        <v>0</v>
      </c>
      <c r="I46" s="385">
        <f>(I44+I40+I42+I39)*I45</f>
        <v>0</v>
      </c>
      <c r="J46" s="384">
        <f>(J44+J40+J41+J42+J39)*J45</f>
        <v>98578.125</v>
      </c>
      <c r="K46" s="385">
        <f>(K44+K40+K42+K39)*K45</f>
        <v>73933.59375</v>
      </c>
      <c r="L46" s="384">
        <f>(L44+L40+L41+L42+L39)*L45</f>
        <v>7393.359375</v>
      </c>
      <c r="M46" s="385">
        <f>(M44+M40+M42+M39)*M45</f>
        <v>7393.359375</v>
      </c>
      <c r="N46" s="384">
        <f>(N44+N40+N41+N42+N39)*N45</f>
        <v>0</v>
      </c>
      <c r="O46" s="385">
        <f>(O44+O40+O42+O39)*O45</f>
        <v>0</v>
      </c>
    </row>
    <row r="47" spans="1:22" ht="12.95" customHeight="1">
      <c r="A47" s="534" t="s">
        <v>67</v>
      </c>
      <c r="B47" s="535"/>
      <c r="C47" s="535"/>
      <c r="D47" s="535"/>
      <c r="E47" s="111"/>
      <c r="F47" s="116"/>
      <c r="G47" s="117"/>
      <c r="H47" s="387">
        <v>0.02</v>
      </c>
      <c r="I47" s="387">
        <v>0.02</v>
      </c>
      <c r="J47" s="387"/>
      <c r="K47" s="387"/>
      <c r="L47" s="387"/>
      <c r="M47" s="387"/>
      <c r="N47" s="387">
        <v>0.02</v>
      </c>
      <c r="O47" s="387">
        <v>0.02</v>
      </c>
    </row>
    <row r="48" spans="1:22" ht="12.95" customHeight="1">
      <c r="A48" s="534"/>
      <c r="B48" s="535" t="s">
        <v>68</v>
      </c>
      <c r="C48" s="535"/>
      <c r="D48" s="535"/>
      <c r="E48" s="111"/>
      <c r="F48" s="116"/>
      <c r="G48" s="117"/>
      <c r="H48" s="384">
        <f>(H44+H40+H41+H42+H39)*H47</f>
        <v>571.63</v>
      </c>
      <c r="I48" s="385">
        <f>(I44+I40+I42+I39)*I47</f>
        <v>543.0485000000001</v>
      </c>
      <c r="J48" s="384">
        <f>(J44+J40+J41+J42+J39)*J47</f>
        <v>0</v>
      </c>
      <c r="K48" s="385">
        <f>(K44+K40+K42+K39)*K47</f>
        <v>0</v>
      </c>
      <c r="L48" s="384">
        <f>(L44+L40+L41+L42+L39)*L47</f>
        <v>0</v>
      </c>
      <c r="M48" s="385">
        <f>(M44+M40+M42+M39)*M47</f>
        <v>0</v>
      </c>
      <c r="N48" s="384">
        <f>(N44+N40+N41+N42+N39)*N47</f>
        <v>629.27599999999995</v>
      </c>
      <c r="O48" s="385">
        <f>(O44+O40+O42+O39)*O47</f>
        <v>629.27599999999995</v>
      </c>
    </row>
    <row r="49" spans="1:15" ht="12.95" customHeight="1">
      <c r="A49" s="1862" t="s">
        <v>69</v>
      </c>
      <c r="B49" s="1863"/>
      <c r="C49" s="535"/>
      <c r="D49" s="535"/>
      <c r="E49" s="111"/>
      <c r="F49" s="120"/>
      <c r="G49" s="117"/>
      <c r="H49" s="387"/>
      <c r="I49" s="388"/>
      <c r="J49" s="387"/>
      <c r="K49" s="388"/>
      <c r="L49" s="387"/>
      <c r="M49" s="388"/>
      <c r="N49" s="387"/>
      <c r="O49" s="388"/>
    </row>
    <row r="50" spans="1:15" ht="12.95" customHeight="1">
      <c r="A50" s="536"/>
      <c r="B50" s="537" t="s">
        <v>70</v>
      </c>
      <c r="C50" s="537"/>
      <c r="D50" s="537"/>
      <c r="E50" s="124"/>
      <c r="F50" s="125"/>
      <c r="G50" s="126"/>
      <c r="H50" s="384">
        <f t="shared" ref="H50:O50" si="5">H39*H49</f>
        <v>0</v>
      </c>
      <c r="I50" s="385">
        <f t="shared" si="5"/>
        <v>0</v>
      </c>
      <c r="J50" s="384">
        <f t="shared" si="5"/>
        <v>0</v>
      </c>
      <c r="K50" s="385">
        <f t="shared" si="5"/>
        <v>0</v>
      </c>
      <c r="L50" s="384">
        <f t="shared" si="5"/>
        <v>0</v>
      </c>
      <c r="M50" s="385">
        <f t="shared" si="5"/>
        <v>0</v>
      </c>
      <c r="N50" s="384">
        <f t="shared" si="5"/>
        <v>0</v>
      </c>
      <c r="O50" s="385">
        <f t="shared" si="5"/>
        <v>0</v>
      </c>
    </row>
    <row r="51" spans="1:15" ht="13.5" thickBot="1">
      <c r="A51" s="1864"/>
      <c r="B51" s="1865"/>
      <c r="C51" s="537"/>
      <c r="D51" s="537"/>
      <c r="E51" s="124"/>
      <c r="F51" s="124"/>
      <c r="G51" s="391"/>
      <c r="H51" s="392"/>
      <c r="I51" s="393"/>
      <c r="J51" s="392"/>
      <c r="K51" s="393"/>
      <c r="L51" s="392"/>
      <c r="M51" s="393"/>
      <c r="N51" s="392"/>
      <c r="O51" s="393"/>
    </row>
    <row r="52" spans="1:15" ht="13.5" thickBot="1">
      <c r="A52" s="131" t="s">
        <v>71</v>
      </c>
      <c r="B52" s="132"/>
      <c r="C52" s="132"/>
      <c r="D52" s="132"/>
      <c r="E52" s="132"/>
      <c r="F52" s="132"/>
      <c r="G52" s="133"/>
      <c r="H52" s="134">
        <f t="shared" ref="H52:O52" si="6">SUM(H39:H51)</f>
        <v>29153.15</v>
      </c>
      <c r="I52" s="135">
        <f t="shared" si="6"/>
        <v>27695.493500000004</v>
      </c>
      <c r="J52" s="134">
        <f t="shared" si="6"/>
        <v>887203.375</v>
      </c>
      <c r="K52" s="135">
        <f t="shared" si="6"/>
        <v>665402.59375</v>
      </c>
      <c r="L52" s="134">
        <f t="shared" si="6"/>
        <v>66540.484375</v>
      </c>
      <c r="M52" s="135">
        <f t="shared" si="6"/>
        <v>66540.484375</v>
      </c>
      <c r="N52" s="134">
        <f t="shared" si="6"/>
        <v>32093.096000000001</v>
      </c>
      <c r="O52" s="135">
        <f t="shared" si="6"/>
        <v>32093.096000000001</v>
      </c>
    </row>
    <row r="53" spans="1:15" s="142" customFormat="1" ht="13.5" thickBot="1">
      <c r="A53" s="137"/>
      <c r="B53" s="138"/>
      <c r="C53" s="138"/>
      <c r="D53" s="138"/>
      <c r="E53" s="138"/>
      <c r="F53" s="138"/>
      <c r="G53" s="138"/>
      <c r="H53" s="139"/>
      <c r="I53" s="140"/>
      <c r="J53" s="139"/>
      <c r="K53" s="140"/>
      <c r="L53" s="139"/>
      <c r="M53" s="140"/>
      <c r="N53" s="139"/>
      <c r="O53" s="140"/>
    </row>
    <row r="54" spans="1:15" s="7" customFormat="1" ht="13.5" thickBot="1">
      <c r="A54" s="131" t="s">
        <v>72</v>
      </c>
      <c r="B54" s="132"/>
      <c r="C54" s="132"/>
      <c r="D54" s="132"/>
      <c r="E54" s="132"/>
      <c r="F54" s="132"/>
      <c r="G54" s="133"/>
      <c r="H54" s="135">
        <f>H39+H48+H40+H42+H41</f>
        <v>29153.13</v>
      </c>
      <c r="I54" s="143">
        <f>I39+I48</f>
        <v>27695.473500000004</v>
      </c>
      <c r="J54" s="135">
        <f>J39+J48+J40+J42+J41</f>
        <v>701000</v>
      </c>
      <c r="K54" s="143">
        <f>K39+K48</f>
        <v>525750</v>
      </c>
      <c r="L54" s="135">
        <f>L39+L48+L40+L42+L41</f>
        <v>52575</v>
      </c>
      <c r="M54" s="143">
        <f>M39+M48</f>
        <v>52575</v>
      </c>
      <c r="N54" s="135">
        <f>N39+N48+N40+N42+N41</f>
        <v>32093.076000000001</v>
      </c>
      <c r="O54" s="143">
        <f>O39+O48</f>
        <v>32093.076000000001</v>
      </c>
    </row>
    <row r="55" spans="1:15" ht="13.5" thickBot="1">
      <c r="A55" s="145"/>
      <c r="B55" s="146"/>
      <c r="C55" s="146"/>
      <c r="D55" s="146"/>
      <c r="E55" s="147"/>
      <c r="F55" s="147"/>
      <c r="G55" s="397"/>
      <c r="H55" s="149"/>
      <c r="I55" s="150"/>
      <c r="J55" s="149"/>
      <c r="K55" s="150"/>
      <c r="L55" s="580"/>
      <c r="M55" s="150"/>
      <c r="N55" s="149"/>
      <c r="O55" s="150"/>
    </row>
    <row r="56" spans="1:15">
      <c r="A56" s="155" t="s">
        <v>73</v>
      </c>
      <c r="B56" s="156" t="s">
        <v>74</v>
      </c>
      <c r="C56" s="398"/>
      <c r="D56" s="398"/>
      <c r="E56" s="157"/>
      <c r="F56" s="157"/>
      <c r="G56" s="399"/>
      <c r="H56" s="159" t="s">
        <v>164</v>
      </c>
      <c r="I56" s="159" t="s">
        <v>1203</v>
      </c>
      <c r="J56" s="159" t="s">
        <v>328</v>
      </c>
      <c r="K56" s="159" t="s">
        <v>328</v>
      </c>
      <c r="L56" s="159" t="s">
        <v>328</v>
      </c>
      <c r="M56" s="159" t="s">
        <v>328</v>
      </c>
      <c r="N56" s="159" t="s">
        <v>164</v>
      </c>
      <c r="O56" s="159" t="s">
        <v>1203</v>
      </c>
    </row>
    <row r="57" spans="1:15" ht="13.5" thickBot="1">
      <c r="A57" s="164" t="s">
        <v>79</v>
      </c>
      <c r="B57" s="165" t="s">
        <v>80</v>
      </c>
      <c r="C57" s="579"/>
      <c r="D57" s="579"/>
      <c r="E57" s="166"/>
      <c r="F57" s="166"/>
      <c r="G57" s="401"/>
      <c r="H57" s="159" t="s">
        <v>165</v>
      </c>
      <c r="I57" s="168" t="s">
        <v>82</v>
      </c>
      <c r="J57" s="159" t="s">
        <v>165</v>
      </c>
      <c r="K57" s="168" t="s">
        <v>82</v>
      </c>
      <c r="L57" s="159" t="s">
        <v>165</v>
      </c>
      <c r="M57" s="168" t="s">
        <v>82</v>
      </c>
      <c r="N57" s="159" t="s">
        <v>165</v>
      </c>
      <c r="O57" s="168" t="s">
        <v>82</v>
      </c>
    </row>
    <row r="58" spans="1:15" ht="63.75">
      <c r="A58" s="173" t="s">
        <v>85</v>
      </c>
      <c r="B58" s="174" t="s">
        <v>86</v>
      </c>
      <c r="C58" s="174"/>
      <c r="D58" s="174"/>
      <c r="E58" s="175"/>
      <c r="F58" s="175"/>
      <c r="G58" s="402"/>
      <c r="H58" s="177" t="s">
        <v>168</v>
      </c>
      <c r="I58" s="177" t="s">
        <v>1204</v>
      </c>
      <c r="J58" s="177" t="s">
        <v>168</v>
      </c>
      <c r="K58" s="177" t="s">
        <v>1205</v>
      </c>
      <c r="L58" s="177" t="s">
        <v>168</v>
      </c>
      <c r="M58" s="177" t="s">
        <v>1205</v>
      </c>
      <c r="N58" s="177" t="s">
        <v>168</v>
      </c>
      <c r="O58" s="177" t="s">
        <v>167</v>
      </c>
    </row>
    <row r="59" spans="1:15">
      <c r="A59" s="181" t="s">
        <v>90</v>
      </c>
      <c r="B59" s="175" t="s">
        <v>91</v>
      </c>
      <c r="C59" s="175"/>
      <c r="D59" s="175"/>
      <c r="E59" s="175"/>
      <c r="F59" s="175"/>
      <c r="G59" s="402"/>
      <c r="H59" s="177" t="s">
        <v>92</v>
      </c>
      <c r="I59" s="182" t="s">
        <v>332</v>
      </c>
      <c r="J59" s="177" t="s">
        <v>92</v>
      </c>
      <c r="K59" s="182" t="s">
        <v>332</v>
      </c>
      <c r="L59" s="177" t="s">
        <v>92</v>
      </c>
      <c r="M59" s="182" t="s">
        <v>332</v>
      </c>
      <c r="N59" s="177" t="s">
        <v>92</v>
      </c>
      <c r="O59" s="182" t="s">
        <v>332</v>
      </c>
    </row>
    <row r="60" spans="1:15" ht="39.950000000000003" customHeight="1">
      <c r="A60" s="181" t="s">
        <v>93</v>
      </c>
      <c r="B60" s="174" t="s">
        <v>94</v>
      </c>
      <c r="C60" s="174"/>
      <c r="D60" s="174"/>
      <c r="E60" s="175"/>
      <c r="F60" s="175"/>
      <c r="G60" s="402"/>
      <c r="H60" s="184"/>
      <c r="I60" s="185"/>
      <c r="J60" s="184"/>
      <c r="K60" s="185"/>
      <c r="L60" s="184"/>
      <c r="M60" s="185"/>
      <c r="N60" s="184"/>
      <c r="O60" s="185"/>
    </row>
    <row r="61" spans="1:15" ht="63.75">
      <c r="A61" s="181" t="s">
        <v>95</v>
      </c>
      <c r="B61" s="174" t="s">
        <v>96</v>
      </c>
      <c r="C61" s="174"/>
      <c r="D61" s="174"/>
      <c r="E61" s="175"/>
      <c r="F61" s="175"/>
      <c r="G61" s="402"/>
      <c r="H61" s="177" t="s">
        <v>97</v>
      </c>
      <c r="I61" s="177" t="s">
        <v>97</v>
      </c>
      <c r="J61" s="177" t="s">
        <v>97</v>
      </c>
      <c r="K61" s="177" t="s">
        <v>97</v>
      </c>
      <c r="L61" s="177" t="s">
        <v>97</v>
      </c>
      <c r="M61" s="177" t="s">
        <v>97</v>
      </c>
      <c r="N61" s="177" t="s">
        <v>97</v>
      </c>
      <c r="O61" s="177" t="s">
        <v>97</v>
      </c>
    </row>
    <row r="62" spans="1:15" ht="51.75" thickBot="1">
      <c r="A62" s="189" t="s">
        <v>99</v>
      </c>
      <c r="B62" s="190" t="s">
        <v>100</v>
      </c>
      <c r="C62" s="190"/>
      <c r="D62" s="190"/>
      <c r="E62" s="191"/>
      <c r="F62" s="191"/>
      <c r="G62" s="403"/>
      <c r="H62" s="193" t="s">
        <v>101</v>
      </c>
      <c r="I62" s="193" t="s">
        <v>332</v>
      </c>
      <c r="J62" s="193" t="s">
        <v>101</v>
      </c>
      <c r="K62" s="193" t="s">
        <v>101</v>
      </c>
      <c r="L62" s="193" t="s">
        <v>101</v>
      </c>
      <c r="M62" s="193" t="s">
        <v>101</v>
      </c>
      <c r="N62" s="193" t="s">
        <v>101</v>
      </c>
      <c r="O62" s="193" t="s">
        <v>332</v>
      </c>
    </row>
    <row r="63" spans="1:15" ht="30" customHeight="1">
      <c r="A63" s="1866" t="s">
        <v>102</v>
      </c>
      <c r="B63" s="1867"/>
      <c r="C63" s="1867"/>
      <c r="D63" s="1867"/>
      <c r="E63" s="1971"/>
      <c r="F63" s="1858" t="s">
        <v>103</v>
      </c>
      <c r="G63" s="1859"/>
      <c r="H63" s="1859"/>
      <c r="I63" s="1859"/>
      <c r="J63" s="532"/>
      <c r="K63" s="532"/>
      <c r="L63" s="532"/>
      <c r="M63" s="532"/>
      <c r="N63" s="532"/>
      <c r="O63" s="532"/>
    </row>
    <row r="64" spans="1:15" ht="13.5" thickBot="1">
      <c r="A64" s="1866"/>
      <c r="B64" s="1867"/>
      <c r="C64" s="1867"/>
      <c r="D64" s="1867"/>
      <c r="E64" s="1971"/>
      <c r="F64" s="1858"/>
      <c r="G64" s="1859"/>
      <c r="H64" s="1859"/>
      <c r="I64" s="1859"/>
      <c r="J64" s="532"/>
      <c r="K64" s="532"/>
      <c r="L64" s="532"/>
      <c r="M64" s="532"/>
      <c r="N64" s="532"/>
      <c r="O64" s="532"/>
    </row>
    <row r="65" spans="1:15">
      <c r="A65" s="149"/>
      <c r="B65" s="197"/>
      <c r="C65" s="197"/>
      <c r="D65" s="197"/>
      <c r="E65" s="152"/>
      <c r="F65" s="152"/>
      <c r="G65" s="406"/>
      <c r="H65" s="152"/>
      <c r="I65" s="152"/>
      <c r="J65" s="152"/>
      <c r="K65" s="152"/>
      <c r="L65" s="152"/>
      <c r="M65" s="152"/>
      <c r="N65" s="152"/>
      <c r="O65" s="152"/>
    </row>
    <row r="66" spans="1:15">
      <c r="A66" s="200"/>
      <c r="B66" s="201"/>
      <c r="C66" s="201"/>
      <c r="D66" s="201"/>
      <c r="E66" s="202"/>
      <c r="F66" s="202"/>
      <c r="G66" s="407"/>
      <c r="H66" s="202"/>
      <c r="I66" s="202"/>
      <c r="J66" s="202"/>
      <c r="K66" s="202"/>
      <c r="L66" s="202"/>
      <c r="M66" s="202"/>
      <c r="N66" s="202"/>
      <c r="O66" s="202"/>
    </row>
    <row r="67" spans="1:15">
      <c r="A67" s="200"/>
      <c r="B67" s="27" t="s">
        <v>105</v>
      </c>
      <c r="C67" s="27"/>
      <c r="D67" s="27"/>
      <c r="E67" s="28"/>
      <c r="F67" s="28"/>
      <c r="G67" s="28" t="s">
        <v>106</v>
      </c>
      <c r="H67" s="202"/>
      <c r="I67" s="28"/>
      <c r="J67" s="202"/>
      <c r="K67" s="28"/>
      <c r="L67" s="202"/>
      <c r="M67" s="28"/>
      <c r="N67" s="28"/>
      <c r="O67" s="202"/>
    </row>
    <row r="68" spans="1:15" ht="13.5" thickBot="1">
      <c r="A68" s="205"/>
      <c r="B68" s="206"/>
      <c r="C68" s="206"/>
      <c r="D68" s="206"/>
      <c r="E68" s="207"/>
      <c r="F68" s="207"/>
      <c r="G68" s="207"/>
      <c r="H68" s="207"/>
      <c r="I68" s="207"/>
      <c r="J68" s="207"/>
      <c r="K68" s="207"/>
      <c r="L68" s="207"/>
      <c r="M68" s="207"/>
      <c r="N68" s="207"/>
      <c r="O68" s="207"/>
    </row>
  </sheetData>
  <mergeCells count="34">
    <mergeCell ref="L4:M5"/>
    <mergeCell ref="A2:I2"/>
    <mergeCell ref="A3:I3"/>
    <mergeCell ref="G4:G5"/>
    <mergeCell ref="H4:I5"/>
    <mergeCell ref="J4:K5"/>
    <mergeCell ref="A7:A12"/>
    <mergeCell ref="B7:B12"/>
    <mergeCell ref="E7:E12"/>
    <mergeCell ref="F7:F12"/>
    <mergeCell ref="G7:G12"/>
    <mergeCell ref="J7:K7"/>
    <mergeCell ref="L7:M7"/>
    <mergeCell ref="N7:O7"/>
    <mergeCell ref="H8:I9"/>
    <mergeCell ref="J8:K9"/>
    <mergeCell ref="L8:M9"/>
    <mergeCell ref="N8:O9"/>
    <mergeCell ref="H7:I7"/>
    <mergeCell ref="J10:K10"/>
    <mergeCell ref="L10:M10"/>
    <mergeCell ref="N10:O10"/>
    <mergeCell ref="H11:I11"/>
    <mergeCell ref="J11:K11"/>
    <mergeCell ref="L11:M11"/>
    <mergeCell ref="N11:O11"/>
    <mergeCell ref="H10:I10"/>
    <mergeCell ref="F63:I64"/>
    <mergeCell ref="A40:B40"/>
    <mergeCell ref="A42:B42"/>
    <mergeCell ref="A45:B45"/>
    <mergeCell ref="A49:B49"/>
    <mergeCell ref="A51:B51"/>
    <mergeCell ref="A63:E64"/>
  </mergeCells>
  <pageMargins left="0.25" right="0.25" top="0.75" bottom="0.75" header="0.3" footer="0.3"/>
  <pageSetup scale="5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5"/>
  <sheetViews>
    <sheetView topLeftCell="A7" zoomScaleNormal="100" workbookViewId="0">
      <selection activeCell="B14" sqref="B14"/>
    </sheetView>
  </sheetViews>
  <sheetFormatPr defaultRowHeight="12.75"/>
  <cols>
    <col min="1" max="1" width="6.140625" style="956" customWidth="1"/>
    <col min="2" max="2" width="52.7109375" style="973" customWidth="1"/>
    <col min="3" max="3" width="10.5703125" style="956" customWidth="1"/>
    <col min="4" max="4" width="16.28515625" style="956" customWidth="1"/>
    <col min="5" max="5" width="6.140625" style="956" customWidth="1"/>
    <col min="6" max="6" width="12.7109375" style="956" customWidth="1"/>
    <col min="7" max="7" width="20.5703125" style="956" customWidth="1"/>
    <col min="8" max="8" width="18.85546875" style="956" customWidth="1"/>
    <col min="9" max="9" width="20.5703125" style="956" customWidth="1"/>
    <col min="10" max="10" width="18.85546875" style="956" customWidth="1"/>
    <col min="11" max="11" width="17.5703125" style="956" customWidth="1"/>
    <col min="12" max="12" width="18.42578125" style="956" customWidth="1"/>
    <col min="13" max="13" width="17.5703125" style="956" customWidth="1"/>
    <col min="14" max="14" width="18.42578125" style="956" customWidth="1"/>
    <col min="15" max="15" width="12.42578125" style="956" bestFit="1" customWidth="1"/>
    <col min="16" max="16" width="11.140625" style="956" bestFit="1" customWidth="1"/>
    <col min="17" max="17" width="9.140625" style="956"/>
    <col min="18" max="18" width="11" style="956" bestFit="1" customWidth="1"/>
    <col min="19" max="253" width="9.140625" style="956"/>
    <col min="254" max="254" width="4" style="956" customWidth="1"/>
    <col min="255" max="255" width="30.7109375" style="956" customWidth="1"/>
    <col min="256" max="257" width="10" style="956" customWidth="1"/>
    <col min="258" max="258" width="9.85546875" style="956" customWidth="1"/>
    <col min="259" max="259" width="12.42578125" style="956" customWidth="1"/>
    <col min="260" max="265" width="12.7109375" style="956" customWidth="1"/>
    <col min="266" max="266" width="13" style="956" customWidth="1"/>
    <col min="267" max="268" width="12.7109375" style="956" customWidth="1"/>
    <col min="269" max="269" width="9.140625" style="956"/>
    <col min="270" max="270" width="11.140625" style="956" bestFit="1" customWidth="1"/>
    <col min="271" max="509" width="9.140625" style="956"/>
    <col min="510" max="510" width="4" style="956" customWidth="1"/>
    <col min="511" max="511" width="30.7109375" style="956" customWidth="1"/>
    <col min="512" max="513" width="10" style="956" customWidth="1"/>
    <col min="514" max="514" width="9.85546875" style="956" customWidth="1"/>
    <col min="515" max="515" width="12.42578125" style="956" customWidth="1"/>
    <col min="516" max="521" width="12.7109375" style="956" customWidth="1"/>
    <col min="522" max="522" width="13" style="956" customWidth="1"/>
    <col min="523" max="524" width="12.7109375" style="956" customWidth="1"/>
    <col min="525" max="525" width="9.140625" style="956"/>
    <col min="526" max="526" width="11.140625" style="956" bestFit="1" customWidth="1"/>
    <col min="527" max="765" width="9.140625" style="956"/>
    <col min="766" max="766" width="4" style="956" customWidth="1"/>
    <col min="767" max="767" width="30.7109375" style="956" customWidth="1"/>
    <col min="768" max="769" width="10" style="956" customWidth="1"/>
    <col min="770" max="770" width="9.85546875" style="956" customWidth="1"/>
    <col min="771" max="771" width="12.42578125" style="956" customWidth="1"/>
    <col min="772" max="777" width="12.7109375" style="956" customWidth="1"/>
    <col min="778" max="778" width="13" style="956" customWidth="1"/>
    <col min="779" max="780" width="12.7109375" style="956" customWidth="1"/>
    <col min="781" max="781" width="9.140625" style="956"/>
    <col min="782" max="782" width="11.140625" style="956" bestFit="1" customWidth="1"/>
    <col min="783" max="1021" width="9.140625" style="956"/>
    <col min="1022" max="1022" width="4" style="956" customWidth="1"/>
    <col min="1023" max="1023" width="30.7109375" style="956" customWidth="1"/>
    <col min="1024" max="1025" width="10" style="956" customWidth="1"/>
    <col min="1026" max="1026" width="9.85546875" style="956" customWidth="1"/>
    <col min="1027" max="1027" width="12.42578125" style="956" customWidth="1"/>
    <col min="1028" max="1033" width="12.7109375" style="956" customWidth="1"/>
    <col min="1034" max="1034" width="13" style="956" customWidth="1"/>
    <col min="1035" max="1036" width="12.7109375" style="956" customWidth="1"/>
    <col min="1037" max="1037" width="9.140625" style="956"/>
    <col min="1038" max="1038" width="11.140625" style="956" bestFit="1" customWidth="1"/>
    <col min="1039" max="1277" width="9.140625" style="956"/>
    <col min="1278" max="1278" width="4" style="956" customWidth="1"/>
    <col min="1279" max="1279" width="30.7109375" style="956" customWidth="1"/>
    <col min="1280" max="1281" width="10" style="956" customWidth="1"/>
    <col min="1282" max="1282" width="9.85546875" style="956" customWidth="1"/>
    <col min="1283" max="1283" width="12.42578125" style="956" customWidth="1"/>
    <col min="1284" max="1289" width="12.7109375" style="956" customWidth="1"/>
    <col min="1290" max="1290" width="13" style="956" customWidth="1"/>
    <col min="1291" max="1292" width="12.7109375" style="956" customWidth="1"/>
    <col min="1293" max="1293" width="9.140625" style="956"/>
    <col min="1294" max="1294" width="11.140625" style="956" bestFit="1" customWidth="1"/>
    <col min="1295" max="1533" width="9.140625" style="956"/>
    <col min="1534" max="1534" width="4" style="956" customWidth="1"/>
    <col min="1535" max="1535" width="30.7109375" style="956" customWidth="1"/>
    <col min="1536" max="1537" width="10" style="956" customWidth="1"/>
    <col min="1538" max="1538" width="9.85546875" style="956" customWidth="1"/>
    <col min="1539" max="1539" width="12.42578125" style="956" customWidth="1"/>
    <col min="1540" max="1545" width="12.7109375" style="956" customWidth="1"/>
    <col min="1546" max="1546" width="13" style="956" customWidth="1"/>
    <col min="1547" max="1548" width="12.7109375" style="956" customWidth="1"/>
    <col min="1549" max="1549" width="9.140625" style="956"/>
    <col min="1550" max="1550" width="11.140625" style="956" bestFit="1" customWidth="1"/>
    <col min="1551" max="1789" width="9.140625" style="956"/>
    <col min="1790" max="1790" width="4" style="956" customWidth="1"/>
    <col min="1791" max="1791" width="30.7109375" style="956" customWidth="1"/>
    <col min="1792" max="1793" width="10" style="956" customWidth="1"/>
    <col min="1794" max="1794" width="9.85546875" style="956" customWidth="1"/>
    <col min="1795" max="1795" width="12.42578125" style="956" customWidth="1"/>
    <col min="1796" max="1801" width="12.7109375" style="956" customWidth="1"/>
    <col min="1802" max="1802" width="13" style="956" customWidth="1"/>
    <col min="1803" max="1804" width="12.7109375" style="956" customWidth="1"/>
    <col min="1805" max="1805" width="9.140625" style="956"/>
    <col min="1806" max="1806" width="11.140625" style="956" bestFit="1" customWidth="1"/>
    <col min="1807" max="2045" width="9.140625" style="956"/>
    <col min="2046" max="2046" width="4" style="956" customWidth="1"/>
    <col min="2047" max="2047" width="30.7109375" style="956" customWidth="1"/>
    <col min="2048" max="2049" width="10" style="956" customWidth="1"/>
    <col min="2050" max="2050" width="9.85546875" style="956" customWidth="1"/>
    <col min="2051" max="2051" width="12.42578125" style="956" customWidth="1"/>
    <col min="2052" max="2057" width="12.7109375" style="956" customWidth="1"/>
    <col min="2058" max="2058" width="13" style="956" customWidth="1"/>
    <col min="2059" max="2060" width="12.7109375" style="956" customWidth="1"/>
    <col min="2061" max="2061" width="9.140625" style="956"/>
    <col min="2062" max="2062" width="11.140625" style="956" bestFit="1" customWidth="1"/>
    <col min="2063" max="2301" width="9.140625" style="956"/>
    <col min="2302" max="2302" width="4" style="956" customWidth="1"/>
    <col min="2303" max="2303" width="30.7109375" style="956" customWidth="1"/>
    <col min="2304" max="2305" width="10" style="956" customWidth="1"/>
    <col min="2306" max="2306" width="9.85546875" style="956" customWidth="1"/>
    <col min="2307" max="2307" width="12.42578125" style="956" customWidth="1"/>
    <col min="2308" max="2313" width="12.7109375" style="956" customWidth="1"/>
    <col min="2314" max="2314" width="13" style="956" customWidth="1"/>
    <col min="2315" max="2316" width="12.7109375" style="956" customWidth="1"/>
    <col min="2317" max="2317" width="9.140625" style="956"/>
    <col min="2318" max="2318" width="11.140625" style="956" bestFit="1" customWidth="1"/>
    <col min="2319" max="2557" width="9.140625" style="956"/>
    <col min="2558" max="2558" width="4" style="956" customWidth="1"/>
    <col min="2559" max="2559" width="30.7109375" style="956" customWidth="1"/>
    <col min="2560" max="2561" width="10" style="956" customWidth="1"/>
    <col min="2562" max="2562" width="9.85546875" style="956" customWidth="1"/>
    <col min="2563" max="2563" width="12.42578125" style="956" customWidth="1"/>
    <col min="2564" max="2569" width="12.7109375" style="956" customWidth="1"/>
    <col min="2570" max="2570" width="13" style="956" customWidth="1"/>
    <col min="2571" max="2572" width="12.7109375" style="956" customWidth="1"/>
    <col min="2573" max="2573" width="9.140625" style="956"/>
    <col min="2574" max="2574" width="11.140625" style="956" bestFit="1" customWidth="1"/>
    <col min="2575" max="2813" width="9.140625" style="956"/>
    <col min="2814" max="2814" width="4" style="956" customWidth="1"/>
    <col min="2815" max="2815" width="30.7109375" style="956" customWidth="1"/>
    <col min="2816" max="2817" width="10" style="956" customWidth="1"/>
    <col min="2818" max="2818" width="9.85546875" style="956" customWidth="1"/>
    <col min="2819" max="2819" width="12.42578125" style="956" customWidth="1"/>
    <col min="2820" max="2825" width="12.7109375" style="956" customWidth="1"/>
    <col min="2826" max="2826" width="13" style="956" customWidth="1"/>
    <col min="2827" max="2828" width="12.7109375" style="956" customWidth="1"/>
    <col min="2829" max="2829" width="9.140625" style="956"/>
    <col min="2830" max="2830" width="11.140625" style="956" bestFit="1" customWidth="1"/>
    <col min="2831" max="3069" width="9.140625" style="956"/>
    <col min="3070" max="3070" width="4" style="956" customWidth="1"/>
    <col min="3071" max="3071" width="30.7109375" style="956" customWidth="1"/>
    <col min="3072" max="3073" width="10" style="956" customWidth="1"/>
    <col min="3074" max="3074" width="9.85546875" style="956" customWidth="1"/>
    <col min="3075" max="3075" width="12.42578125" style="956" customWidth="1"/>
    <col min="3076" max="3081" width="12.7109375" style="956" customWidth="1"/>
    <col min="3082" max="3082" width="13" style="956" customWidth="1"/>
    <col min="3083" max="3084" width="12.7109375" style="956" customWidth="1"/>
    <col min="3085" max="3085" width="9.140625" style="956"/>
    <col min="3086" max="3086" width="11.140625" style="956" bestFit="1" customWidth="1"/>
    <col min="3087" max="3325" width="9.140625" style="956"/>
    <col min="3326" max="3326" width="4" style="956" customWidth="1"/>
    <col min="3327" max="3327" width="30.7109375" style="956" customWidth="1"/>
    <col min="3328" max="3329" width="10" style="956" customWidth="1"/>
    <col min="3330" max="3330" width="9.85546875" style="956" customWidth="1"/>
    <col min="3331" max="3331" width="12.42578125" style="956" customWidth="1"/>
    <col min="3332" max="3337" width="12.7109375" style="956" customWidth="1"/>
    <col min="3338" max="3338" width="13" style="956" customWidth="1"/>
    <col min="3339" max="3340" width="12.7109375" style="956" customWidth="1"/>
    <col min="3341" max="3341" width="9.140625" style="956"/>
    <col min="3342" max="3342" width="11.140625" style="956" bestFit="1" customWidth="1"/>
    <col min="3343" max="3581" width="9.140625" style="956"/>
    <col min="3582" max="3582" width="4" style="956" customWidth="1"/>
    <col min="3583" max="3583" width="30.7109375" style="956" customWidth="1"/>
    <col min="3584" max="3585" width="10" style="956" customWidth="1"/>
    <col min="3586" max="3586" width="9.85546875" style="956" customWidth="1"/>
    <col min="3587" max="3587" width="12.42578125" style="956" customWidth="1"/>
    <col min="3588" max="3593" width="12.7109375" style="956" customWidth="1"/>
    <col min="3594" max="3594" width="13" style="956" customWidth="1"/>
    <col min="3595" max="3596" width="12.7109375" style="956" customWidth="1"/>
    <col min="3597" max="3597" width="9.140625" style="956"/>
    <col min="3598" max="3598" width="11.140625" style="956" bestFit="1" customWidth="1"/>
    <col min="3599" max="3837" width="9.140625" style="956"/>
    <col min="3838" max="3838" width="4" style="956" customWidth="1"/>
    <col min="3839" max="3839" width="30.7109375" style="956" customWidth="1"/>
    <col min="3840" max="3841" width="10" style="956" customWidth="1"/>
    <col min="3842" max="3842" width="9.85546875" style="956" customWidth="1"/>
    <col min="3843" max="3843" width="12.42578125" style="956" customWidth="1"/>
    <col min="3844" max="3849" width="12.7109375" style="956" customWidth="1"/>
    <col min="3850" max="3850" width="13" style="956" customWidth="1"/>
    <col min="3851" max="3852" width="12.7109375" style="956" customWidth="1"/>
    <col min="3853" max="3853" width="9.140625" style="956"/>
    <col min="3854" max="3854" width="11.140625" style="956" bestFit="1" customWidth="1"/>
    <col min="3855" max="4093" width="9.140625" style="956"/>
    <col min="4094" max="4094" width="4" style="956" customWidth="1"/>
    <col min="4095" max="4095" width="30.7109375" style="956" customWidth="1"/>
    <col min="4096" max="4097" width="10" style="956" customWidth="1"/>
    <col min="4098" max="4098" width="9.85546875" style="956" customWidth="1"/>
    <col min="4099" max="4099" width="12.42578125" style="956" customWidth="1"/>
    <col min="4100" max="4105" width="12.7109375" style="956" customWidth="1"/>
    <col min="4106" max="4106" width="13" style="956" customWidth="1"/>
    <col min="4107" max="4108" width="12.7109375" style="956" customWidth="1"/>
    <col min="4109" max="4109" width="9.140625" style="956"/>
    <col min="4110" max="4110" width="11.140625" style="956" bestFit="1" customWidth="1"/>
    <col min="4111" max="4349" width="9.140625" style="956"/>
    <col min="4350" max="4350" width="4" style="956" customWidth="1"/>
    <col min="4351" max="4351" width="30.7109375" style="956" customWidth="1"/>
    <col min="4352" max="4353" width="10" style="956" customWidth="1"/>
    <col min="4354" max="4354" width="9.85546875" style="956" customWidth="1"/>
    <col min="4355" max="4355" width="12.42578125" style="956" customWidth="1"/>
    <col min="4356" max="4361" width="12.7109375" style="956" customWidth="1"/>
    <col min="4362" max="4362" width="13" style="956" customWidth="1"/>
    <col min="4363" max="4364" width="12.7109375" style="956" customWidth="1"/>
    <col min="4365" max="4365" width="9.140625" style="956"/>
    <col min="4366" max="4366" width="11.140625" style="956" bestFit="1" customWidth="1"/>
    <col min="4367" max="4605" width="9.140625" style="956"/>
    <col min="4606" max="4606" width="4" style="956" customWidth="1"/>
    <col min="4607" max="4607" width="30.7109375" style="956" customWidth="1"/>
    <col min="4608" max="4609" width="10" style="956" customWidth="1"/>
    <col min="4610" max="4610" width="9.85546875" style="956" customWidth="1"/>
    <col min="4611" max="4611" width="12.42578125" style="956" customWidth="1"/>
    <col min="4612" max="4617" width="12.7109375" style="956" customWidth="1"/>
    <col min="4618" max="4618" width="13" style="956" customWidth="1"/>
    <col min="4619" max="4620" width="12.7109375" style="956" customWidth="1"/>
    <col min="4621" max="4621" width="9.140625" style="956"/>
    <col min="4622" max="4622" width="11.140625" style="956" bestFit="1" customWidth="1"/>
    <col min="4623" max="4861" width="9.140625" style="956"/>
    <col min="4862" max="4862" width="4" style="956" customWidth="1"/>
    <col min="4863" max="4863" width="30.7109375" style="956" customWidth="1"/>
    <col min="4864" max="4865" width="10" style="956" customWidth="1"/>
    <col min="4866" max="4866" width="9.85546875" style="956" customWidth="1"/>
    <col min="4867" max="4867" width="12.42578125" style="956" customWidth="1"/>
    <col min="4868" max="4873" width="12.7109375" style="956" customWidth="1"/>
    <col min="4874" max="4874" width="13" style="956" customWidth="1"/>
    <col min="4875" max="4876" width="12.7109375" style="956" customWidth="1"/>
    <col min="4877" max="4877" width="9.140625" style="956"/>
    <col min="4878" max="4878" width="11.140625" style="956" bestFit="1" customWidth="1"/>
    <col min="4879" max="5117" width="9.140625" style="956"/>
    <col min="5118" max="5118" width="4" style="956" customWidth="1"/>
    <col min="5119" max="5119" width="30.7109375" style="956" customWidth="1"/>
    <col min="5120" max="5121" width="10" style="956" customWidth="1"/>
    <col min="5122" max="5122" width="9.85546875" style="956" customWidth="1"/>
    <col min="5123" max="5123" width="12.42578125" style="956" customWidth="1"/>
    <col min="5124" max="5129" width="12.7109375" style="956" customWidth="1"/>
    <col min="5130" max="5130" width="13" style="956" customWidth="1"/>
    <col min="5131" max="5132" width="12.7109375" style="956" customWidth="1"/>
    <col min="5133" max="5133" width="9.140625" style="956"/>
    <col min="5134" max="5134" width="11.140625" style="956" bestFit="1" customWidth="1"/>
    <col min="5135" max="5373" width="9.140625" style="956"/>
    <col min="5374" max="5374" width="4" style="956" customWidth="1"/>
    <col min="5375" max="5375" width="30.7109375" style="956" customWidth="1"/>
    <col min="5376" max="5377" width="10" style="956" customWidth="1"/>
    <col min="5378" max="5378" width="9.85546875" style="956" customWidth="1"/>
    <col min="5379" max="5379" width="12.42578125" style="956" customWidth="1"/>
    <col min="5380" max="5385" width="12.7109375" style="956" customWidth="1"/>
    <col min="5386" max="5386" width="13" style="956" customWidth="1"/>
    <col min="5387" max="5388" width="12.7109375" style="956" customWidth="1"/>
    <col min="5389" max="5389" width="9.140625" style="956"/>
    <col min="5390" max="5390" width="11.140625" style="956" bestFit="1" customWidth="1"/>
    <col min="5391" max="5629" width="9.140625" style="956"/>
    <col min="5630" max="5630" width="4" style="956" customWidth="1"/>
    <col min="5631" max="5631" width="30.7109375" style="956" customWidth="1"/>
    <col min="5632" max="5633" width="10" style="956" customWidth="1"/>
    <col min="5634" max="5634" width="9.85546875" style="956" customWidth="1"/>
    <col min="5635" max="5635" width="12.42578125" style="956" customWidth="1"/>
    <col min="5636" max="5641" width="12.7109375" style="956" customWidth="1"/>
    <col min="5642" max="5642" width="13" style="956" customWidth="1"/>
    <col min="5643" max="5644" width="12.7109375" style="956" customWidth="1"/>
    <col min="5645" max="5645" width="9.140625" style="956"/>
    <col min="5646" max="5646" width="11.140625" style="956" bestFit="1" customWidth="1"/>
    <col min="5647" max="5885" width="9.140625" style="956"/>
    <col min="5886" max="5886" width="4" style="956" customWidth="1"/>
    <col min="5887" max="5887" width="30.7109375" style="956" customWidth="1"/>
    <col min="5888" max="5889" width="10" style="956" customWidth="1"/>
    <col min="5890" max="5890" width="9.85546875" style="956" customWidth="1"/>
    <col min="5891" max="5891" width="12.42578125" style="956" customWidth="1"/>
    <col min="5892" max="5897" width="12.7109375" style="956" customWidth="1"/>
    <col min="5898" max="5898" width="13" style="956" customWidth="1"/>
    <col min="5899" max="5900" width="12.7109375" style="956" customWidth="1"/>
    <col min="5901" max="5901" width="9.140625" style="956"/>
    <col min="5902" max="5902" width="11.140625" style="956" bestFit="1" customWidth="1"/>
    <col min="5903" max="6141" width="9.140625" style="956"/>
    <col min="6142" max="6142" width="4" style="956" customWidth="1"/>
    <col min="6143" max="6143" width="30.7109375" style="956" customWidth="1"/>
    <col min="6144" max="6145" width="10" style="956" customWidth="1"/>
    <col min="6146" max="6146" width="9.85546875" style="956" customWidth="1"/>
    <col min="6147" max="6147" width="12.42578125" style="956" customWidth="1"/>
    <col min="6148" max="6153" width="12.7109375" style="956" customWidth="1"/>
    <col min="6154" max="6154" width="13" style="956" customWidth="1"/>
    <col min="6155" max="6156" width="12.7109375" style="956" customWidth="1"/>
    <col min="6157" max="6157" width="9.140625" style="956"/>
    <col min="6158" max="6158" width="11.140625" style="956" bestFit="1" customWidth="1"/>
    <col min="6159" max="6397" width="9.140625" style="956"/>
    <col min="6398" max="6398" width="4" style="956" customWidth="1"/>
    <col min="6399" max="6399" width="30.7109375" style="956" customWidth="1"/>
    <col min="6400" max="6401" width="10" style="956" customWidth="1"/>
    <col min="6402" max="6402" width="9.85546875" style="956" customWidth="1"/>
    <col min="6403" max="6403" width="12.42578125" style="956" customWidth="1"/>
    <col min="6404" max="6409" width="12.7109375" style="956" customWidth="1"/>
    <col min="6410" max="6410" width="13" style="956" customWidth="1"/>
    <col min="6411" max="6412" width="12.7109375" style="956" customWidth="1"/>
    <col min="6413" max="6413" width="9.140625" style="956"/>
    <col min="6414" max="6414" width="11.140625" style="956" bestFit="1" customWidth="1"/>
    <col min="6415" max="6653" width="9.140625" style="956"/>
    <col min="6654" max="6654" width="4" style="956" customWidth="1"/>
    <col min="6655" max="6655" width="30.7109375" style="956" customWidth="1"/>
    <col min="6656" max="6657" width="10" style="956" customWidth="1"/>
    <col min="6658" max="6658" width="9.85546875" style="956" customWidth="1"/>
    <col min="6659" max="6659" width="12.42578125" style="956" customWidth="1"/>
    <col min="6660" max="6665" width="12.7109375" style="956" customWidth="1"/>
    <col min="6666" max="6666" width="13" style="956" customWidth="1"/>
    <col min="6667" max="6668" width="12.7109375" style="956" customWidth="1"/>
    <col min="6669" max="6669" width="9.140625" style="956"/>
    <col min="6670" max="6670" width="11.140625" style="956" bestFit="1" customWidth="1"/>
    <col min="6671" max="6909" width="9.140625" style="956"/>
    <col min="6910" max="6910" width="4" style="956" customWidth="1"/>
    <col min="6911" max="6911" width="30.7109375" style="956" customWidth="1"/>
    <col min="6912" max="6913" width="10" style="956" customWidth="1"/>
    <col min="6914" max="6914" width="9.85546875" style="956" customWidth="1"/>
    <col min="6915" max="6915" width="12.42578125" style="956" customWidth="1"/>
    <col min="6916" max="6921" width="12.7109375" style="956" customWidth="1"/>
    <col min="6922" max="6922" width="13" style="956" customWidth="1"/>
    <col min="6923" max="6924" width="12.7109375" style="956" customWidth="1"/>
    <col min="6925" max="6925" width="9.140625" style="956"/>
    <col min="6926" max="6926" width="11.140625" style="956" bestFit="1" customWidth="1"/>
    <col min="6927" max="7165" width="9.140625" style="956"/>
    <col min="7166" max="7166" width="4" style="956" customWidth="1"/>
    <col min="7167" max="7167" width="30.7109375" style="956" customWidth="1"/>
    <col min="7168" max="7169" width="10" style="956" customWidth="1"/>
    <col min="7170" max="7170" width="9.85546875" style="956" customWidth="1"/>
    <col min="7171" max="7171" width="12.42578125" style="956" customWidth="1"/>
    <col min="7172" max="7177" width="12.7109375" style="956" customWidth="1"/>
    <col min="7178" max="7178" width="13" style="956" customWidth="1"/>
    <col min="7179" max="7180" width="12.7109375" style="956" customWidth="1"/>
    <col min="7181" max="7181" width="9.140625" style="956"/>
    <col min="7182" max="7182" width="11.140625" style="956" bestFit="1" customWidth="1"/>
    <col min="7183" max="7421" width="9.140625" style="956"/>
    <col min="7422" max="7422" width="4" style="956" customWidth="1"/>
    <col min="7423" max="7423" width="30.7109375" style="956" customWidth="1"/>
    <col min="7424" max="7425" width="10" style="956" customWidth="1"/>
    <col min="7426" max="7426" width="9.85546875" style="956" customWidth="1"/>
    <col min="7427" max="7427" width="12.42578125" style="956" customWidth="1"/>
    <col min="7428" max="7433" width="12.7109375" style="956" customWidth="1"/>
    <col min="7434" max="7434" width="13" style="956" customWidth="1"/>
    <col min="7435" max="7436" width="12.7109375" style="956" customWidth="1"/>
    <col min="7437" max="7437" width="9.140625" style="956"/>
    <col min="7438" max="7438" width="11.140625" style="956" bestFit="1" customWidth="1"/>
    <col min="7439" max="7677" width="9.140625" style="956"/>
    <col min="7678" max="7678" width="4" style="956" customWidth="1"/>
    <col min="7679" max="7679" width="30.7109375" style="956" customWidth="1"/>
    <col min="7680" max="7681" width="10" style="956" customWidth="1"/>
    <col min="7682" max="7682" width="9.85546875" style="956" customWidth="1"/>
    <col min="7683" max="7683" width="12.42578125" style="956" customWidth="1"/>
    <col min="7684" max="7689" width="12.7109375" style="956" customWidth="1"/>
    <col min="7690" max="7690" width="13" style="956" customWidth="1"/>
    <col min="7691" max="7692" width="12.7109375" style="956" customWidth="1"/>
    <col min="7693" max="7693" width="9.140625" style="956"/>
    <col min="7694" max="7694" width="11.140625" style="956" bestFit="1" customWidth="1"/>
    <col min="7695" max="7933" width="9.140625" style="956"/>
    <col min="7934" max="7934" width="4" style="956" customWidth="1"/>
    <col min="7935" max="7935" width="30.7109375" style="956" customWidth="1"/>
    <col min="7936" max="7937" width="10" style="956" customWidth="1"/>
    <col min="7938" max="7938" width="9.85546875" style="956" customWidth="1"/>
    <col min="7939" max="7939" width="12.42578125" style="956" customWidth="1"/>
    <col min="7940" max="7945" width="12.7109375" style="956" customWidth="1"/>
    <col min="7946" max="7946" width="13" style="956" customWidth="1"/>
    <col min="7947" max="7948" width="12.7109375" style="956" customWidth="1"/>
    <col min="7949" max="7949" width="9.140625" style="956"/>
    <col min="7950" max="7950" width="11.140625" style="956" bestFit="1" customWidth="1"/>
    <col min="7951" max="8189" width="9.140625" style="956"/>
    <col min="8190" max="8190" width="4" style="956" customWidth="1"/>
    <col min="8191" max="8191" width="30.7109375" style="956" customWidth="1"/>
    <col min="8192" max="8193" width="10" style="956" customWidth="1"/>
    <col min="8194" max="8194" width="9.85546875" style="956" customWidth="1"/>
    <col min="8195" max="8195" width="12.42578125" style="956" customWidth="1"/>
    <col min="8196" max="8201" width="12.7109375" style="956" customWidth="1"/>
    <col min="8202" max="8202" width="13" style="956" customWidth="1"/>
    <col min="8203" max="8204" width="12.7109375" style="956" customWidth="1"/>
    <col min="8205" max="8205" width="9.140625" style="956"/>
    <col min="8206" max="8206" width="11.140625" style="956" bestFit="1" customWidth="1"/>
    <col min="8207" max="8445" width="9.140625" style="956"/>
    <col min="8446" max="8446" width="4" style="956" customWidth="1"/>
    <col min="8447" max="8447" width="30.7109375" style="956" customWidth="1"/>
    <col min="8448" max="8449" width="10" style="956" customWidth="1"/>
    <col min="8450" max="8450" width="9.85546875" style="956" customWidth="1"/>
    <col min="8451" max="8451" width="12.42578125" style="956" customWidth="1"/>
    <col min="8452" max="8457" width="12.7109375" style="956" customWidth="1"/>
    <col min="8458" max="8458" width="13" style="956" customWidth="1"/>
    <col min="8459" max="8460" width="12.7109375" style="956" customWidth="1"/>
    <col min="8461" max="8461" width="9.140625" style="956"/>
    <col min="8462" max="8462" width="11.140625" style="956" bestFit="1" customWidth="1"/>
    <col min="8463" max="8701" width="9.140625" style="956"/>
    <col min="8702" max="8702" width="4" style="956" customWidth="1"/>
    <col min="8703" max="8703" width="30.7109375" style="956" customWidth="1"/>
    <col min="8704" max="8705" width="10" style="956" customWidth="1"/>
    <col min="8706" max="8706" width="9.85546875" style="956" customWidth="1"/>
    <col min="8707" max="8707" width="12.42578125" style="956" customWidth="1"/>
    <col min="8708" max="8713" width="12.7109375" style="956" customWidth="1"/>
    <col min="8714" max="8714" width="13" style="956" customWidth="1"/>
    <col min="8715" max="8716" width="12.7109375" style="956" customWidth="1"/>
    <col min="8717" max="8717" width="9.140625" style="956"/>
    <col min="8718" max="8718" width="11.140625" style="956" bestFit="1" customWidth="1"/>
    <col min="8719" max="8957" width="9.140625" style="956"/>
    <col min="8958" max="8958" width="4" style="956" customWidth="1"/>
    <col min="8959" max="8959" width="30.7109375" style="956" customWidth="1"/>
    <col min="8960" max="8961" width="10" style="956" customWidth="1"/>
    <col min="8962" max="8962" width="9.85546875" style="956" customWidth="1"/>
    <col min="8963" max="8963" width="12.42578125" style="956" customWidth="1"/>
    <col min="8964" max="8969" width="12.7109375" style="956" customWidth="1"/>
    <col min="8970" max="8970" width="13" style="956" customWidth="1"/>
    <col min="8971" max="8972" width="12.7109375" style="956" customWidth="1"/>
    <col min="8973" max="8973" width="9.140625" style="956"/>
    <col min="8974" max="8974" width="11.140625" style="956" bestFit="1" customWidth="1"/>
    <col min="8975" max="9213" width="9.140625" style="956"/>
    <col min="9214" max="9214" width="4" style="956" customWidth="1"/>
    <col min="9215" max="9215" width="30.7109375" style="956" customWidth="1"/>
    <col min="9216" max="9217" width="10" style="956" customWidth="1"/>
    <col min="9218" max="9218" width="9.85546875" style="956" customWidth="1"/>
    <col min="9219" max="9219" width="12.42578125" style="956" customWidth="1"/>
    <col min="9220" max="9225" width="12.7109375" style="956" customWidth="1"/>
    <col min="9226" max="9226" width="13" style="956" customWidth="1"/>
    <col min="9227" max="9228" width="12.7109375" style="956" customWidth="1"/>
    <col min="9229" max="9229" width="9.140625" style="956"/>
    <col min="9230" max="9230" width="11.140625" style="956" bestFit="1" customWidth="1"/>
    <col min="9231" max="9469" width="9.140625" style="956"/>
    <col min="9470" max="9470" width="4" style="956" customWidth="1"/>
    <col min="9471" max="9471" width="30.7109375" style="956" customWidth="1"/>
    <col min="9472" max="9473" width="10" style="956" customWidth="1"/>
    <col min="9474" max="9474" width="9.85546875" style="956" customWidth="1"/>
    <col min="9475" max="9475" width="12.42578125" style="956" customWidth="1"/>
    <col min="9476" max="9481" width="12.7109375" style="956" customWidth="1"/>
    <col min="9482" max="9482" width="13" style="956" customWidth="1"/>
    <col min="9483" max="9484" width="12.7109375" style="956" customWidth="1"/>
    <col min="9485" max="9485" width="9.140625" style="956"/>
    <col min="9486" max="9486" width="11.140625" style="956" bestFit="1" customWidth="1"/>
    <col min="9487" max="9725" width="9.140625" style="956"/>
    <col min="9726" max="9726" width="4" style="956" customWidth="1"/>
    <col min="9727" max="9727" width="30.7109375" style="956" customWidth="1"/>
    <col min="9728" max="9729" width="10" style="956" customWidth="1"/>
    <col min="9730" max="9730" width="9.85546875" style="956" customWidth="1"/>
    <col min="9731" max="9731" width="12.42578125" style="956" customWidth="1"/>
    <col min="9732" max="9737" width="12.7109375" style="956" customWidth="1"/>
    <col min="9738" max="9738" width="13" style="956" customWidth="1"/>
    <col min="9739" max="9740" width="12.7109375" style="956" customWidth="1"/>
    <col min="9741" max="9741" width="9.140625" style="956"/>
    <col min="9742" max="9742" width="11.140625" style="956" bestFit="1" customWidth="1"/>
    <col min="9743" max="9981" width="9.140625" style="956"/>
    <col min="9982" max="9982" width="4" style="956" customWidth="1"/>
    <col min="9983" max="9983" width="30.7109375" style="956" customWidth="1"/>
    <col min="9984" max="9985" width="10" style="956" customWidth="1"/>
    <col min="9986" max="9986" width="9.85546875" style="956" customWidth="1"/>
    <col min="9987" max="9987" width="12.42578125" style="956" customWidth="1"/>
    <col min="9988" max="9993" width="12.7109375" style="956" customWidth="1"/>
    <col min="9994" max="9994" width="13" style="956" customWidth="1"/>
    <col min="9995" max="9996" width="12.7109375" style="956" customWidth="1"/>
    <col min="9997" max="9997" width="9.140625" style="956"/>
    <col min="9998" max="9998" width="11.140625" style="956" bestFit="1" customWidth="1"/>
    <col min="9999" max="10237" width="9.140625" style="956"/>
    <col min="10238" max="10238" width="4" style="956" customWidth="1"/>
    <col min="10239" max="10239" width="30.7109375" style="956" customWidth="1"/>
    <col min="10240" max="10241" width="10" style="956" customWidth="1"/>
    <col min="10242" max="10242" width="9.85546875" style="956" customWidth="1"/>
    <col min="10243" max="10243" width="12.42578125" style="956" customWidth="1"/>
    <col min="10244" max="10249" width="12.7109375" style="956" customWidth="1"/>
    <col min="10250" max="10250" width="13" style="956" customWidth="1"/>
    <col min="10251" max="10252" width="12.7109375" style="956" customWidth="1"/>
    <col min="10253" max="10253" width="9.140625" style="956"/>
    <col min="10254" max="10254" width="11.140625" style="956" bestFit="1" customWidth="1"/>
    <col min="10255" max="10493" width="9.140625" style="956"/>
    <col min="10494" max="10494" width="4" style="956" customWidth="1"/>
    <col min="10495" max="10495" width="30.7109375" style="956" customWidth="1"/>
    <col min="10496" max="10497" width="10" style="956" customWidth="1"/>
    <col min="10498" max="10498" width="9.85546875" style="956" customWidth="1"/>
    <col min="10499" max="10499" width="12.42578125" style="956" customWidth="1"/>
    <col min="10500" max="10505" width="12.7109375" style="956" customWidth="1"/>
    <col min="10506" max="10506" width="13" style="956" customWidth="1"/>
    <col min="10507" max="10508" width="12.7109375" style="956" customWidth="1"/>
    <col min="10509" max="10509" width="9.140625" style="956"/>
    <col min="10510" max="10510" width="11.140625" style="956" bestFit="1" customWidth="1"/>
    <col min="10511" max="10749" width="9.140625" style="956"/>
    <col min="10750" max="10750" width="4" style="956" customWidth="1"/>
    <col min="10751" max="10751" width="30.7109375" style="956" customWidth="1"/>
    <col min="10752" max="10753" width="10" style="956" customWidth="1"/>
    <col min="10754" max="10754" width="9.85546875" style="956" customWidth="1"/>
    <col min="10755" max="10755" width="12.42578125" style="956" customWidth="1"/>
    <col min="10756" max="10761" width="12.7109375" style="956" customWidth="1"/>
    <col min="10762" max="10762" width="13" style="956" customWidth="1"/>
    <col min="10763" max="10764" width="12.7109375" style="956" customWidth="1"/>
    <col min="10765" max="10765" width="9.140625" style="956"/>
    <col min="10766" max="10766" width="11.140625" style="956" bestFit="1" customWidth="1"/>
    <col min="10767" max="11005" width="9.140625" style="956"/>
    <col min="11006" max="11006" width="4" style="956" customWidth="1"/>
    <col min="11007" max="11007" width="30.7109375" style="956" customWidth="1"/>
    <col min="11008" max="11009" width="10" style="956" customWidth="1"/>
    <col min="11010" max="11010" width="9.85546875" style="956" customWidth="1"/>
    <col min="11011" max="11011" width="12.42578125" style="956" customWidth="1"/>
    <col min="11012" max="11017" width="12.7109375" style="956" customWidth="1"/>
    <col min="11018" max="11018" width="13" style="956" customWidth="1"/>
    <col min="11019" max="11020" width="12.7109375" style="956" customWidth="1"/>
    <col min="11021" max="11021" width="9.140625" style="956"/>
    <col min="11022" max="11022" width="11.140625" style="956" bestFit="1" customWidth="1"/>
    <col min="11023" max="11261" width="9.140625" style="956"/>
    <col min="11262" max="11262" width="4" style="956" customWidth="1"/>
    <col min="11263" max="11263" width="30.7109375" style="956" customWidth="1"/>
    <col min="11264" max="11265" width="10" style="956" customWidth="1"/>
    <col min="11266" max="11266" width="9.85546875" style="956" customWidth="1"/>
    <col min="11267" max="11267" width="12.42578125" style="956" customWidth="1"/>
    <col min="11268" max="11273" width="12.7109375" style="956" customWidth="1"/>
    <col min="11274" max="11274" width="13" style="956" customWidth="1"/>
    <col min="11275" max="11276" width="12.7109375" style="956" customWidth="1"/>
    <col min="11277" max="11277" width="9.140625" style="956"/>
    <col min="11278" max="11278" width="11.140625" style="956" bestFit="1" customWidth="1"/>
    <col min="11279" max="11517" width="9.140625" style="956"/>
    <col min="11518" max="11518" width="4" style="956" customWidth="1"/>
    <col min="11519" max="11519" width="30.7109375" style="956" customWidth="1"/>
    <col min="11520" max="11521" width="10" style="956" customWidth="1"/>
    <col min="11522" max="11522" width="9.85546875" style="956" customWidth="1"/>
    <col min="11523" max="11523" width="12.42578125" style="956" customWidth="1"/>
    <col min="11524" max="11529" width="12.7109375" style="956" customWidth="1"/>
    <col min="11530" max="11530" width="13" style="956" customWidth="1"/>
    <col min="11531" max="11532" width="12.7109375" style="956" customWidth="1"/>
    <col min="11533" max="11533" width="9.140625" style="956"/>
    <col min="11534" max="11534" width="11.140625" style="956" bestFit="1" customWidth="1"/>
    <col min="11535" max="11773" width="9.140625" style="956"/>
    <col min="11774" max="11774" width="4" style="956" customWidth="1"/>
    <col min="11775" max="11775" width="30.7109375" style="956" customWidth="1"/>
    <col min="11776" max="11777" width="10" style="956" customWidth="1"/>
    <col min="11778" max="11778" width="9.85546875" style="956" customWidth="1"/>
    <col min="11779" max="11779" width="12.42578125" style="956" customWidth="1"/>
    <col min="11780" max="11785" width="12.7109375" style="956" customWidth="1"/>
    <col min="11786" max="11786" width="13" style="956" customWidth="1"/>
    <col min="11787" max="11788" width="12.7109375" style="956" customWidth="1"/>
    <col min="11789" max="11789" width="9.140625" style="956"/>
    <col min="11790" max="11790" width="11.140625" style="956" bestFit="1" customWidth="1"/>
    <col min="11791" max="12029" width="9.140625" style="956"/>
    <col min="12030" max="12030" width="4" style="956" customWidth="1"/>
    <col min="12031" max="12031" width="30.7109375" style="956" customWidth="1"/>
    <col min="12032" max="12033" width="10" style="956" customWidth="1"/>
    <col min="12034" max="12034" width="9.85546875" style="956" customWidth="1"/>
    <col min="12035" max="12035" width="12.42578125" style="956" customWidth="1"/>
    <col min="12036" max="12041" width="12.7109375" style="956" customWidth="1"/>
    <col min="12042" max="12042" width="13" style="956" customWidth="1"/>
    <col min="12043" max="12044" width="12.7109375" style="956" customWidth="1"/>
    <col min="12045" max="12045" width="9.140625" style="956"/>
    <col min="12046" max="12046" width="11.140625" style="956" bestFit="1" customWidth="1"/>
    <col min="12047" max="12285" width="9.140625" style="956"/>
    <col min="12286" max="12286" width="4" style="956" customWidth="1"/>
    <col min="12287" max="12287" width="30.7109375" style="956" customWidth="1"/>
    <col min="12288" max="12289" width="10" style="956" customWidth="1"/>
    <col min="12290" max="12290" width="9.85546875" style="956" customWidth="1"/>
    <col min="12291" max="12291" width="12.42578125" style="956" customWidth="1"/>
    <col min="12292" max="12297" width="12.7109375" style="956" customWidth="1"/>
    <col min="12298" max="12298" width="13" style="956" customWidth="1"/>
    <col min="12299" max="12300" width="12.7109375" style="956" customWidth="1"/>
    <col min="12301" max="12301" width="9.140625" style="956"/>
    <col min="12302" max="12302" width="11.140625" style="956" bestFit="1" customWidth="1"/>
    <col min="12303" max="12541" width="9.140625" style="956"/>
    <col min="12542" max="12542" width="4" style="956" customWidth="1"/>
    <col min="12543" max="12543" width="30.7109375" style="956" customWidth="1"/>
    <col min="12544" max="12545" width="10" style="956" customWidth="1"/>
    <col min="12546" max="12546" width="9.85546875" style="956" customWidth="1"/>
    <col min="12547" max="12547" width="12.42578125" style="956" customWidth="1"/>
    <col min="12548" max="12553" width="12.7109375" style="956" customWidth="1"/>
    <col min="12554" max="12554" width="13" style="956" customWidth="1"/>
    <col min="12555" max="12556" width="12.7109375" style="956" customWidth="1"/>
    <col min="12557" max="12557" width="9.140625" style="956"/>
    <col min="12558" max="12558" width="11.140625" style="956" bestFit="1" customWidth="1"/>
    <col min="12559" max="12797" width="9.140625" style="956"/>
    <col min="12798" max="12798" width="4" style="956" customWidth="1"/>
    <col min="12799" max="12799" width="30.7109375" style="956" customWidth="1"/>
    <col min="12800" max="12801" width="10" style="956" customWidth="1"/>
    <col min="12802" max="12802" width="9.85546875" style="956" customWidth="1"/>
    <col min="12803" max="12803" width="12.42578125" style="956" customWidth="1"/>
    <col min="12804" max="12809" width="12.7109375" style="956" customWidth="1"/>
    <col min="12810" max="12810" width="13" style="956" customWidth="1"/>
    <col min="12811" max="12812" width="12.7109375" style="956" customWidth="1"/>
    <col min="12813" max="12813" width="9.140625" style="956"/>
    <col min="12814" max="12814" width="11.140625" style="956" bestFit="1" customWidth="1"/>
    <col min="12815" max="13053" width="9.140625" style="956"/>
    <col min="13054" max="13054" width="4" style="956" customWidth="1"/>
    <col min="13055" max="13055" width="30.7109375" style="956" customWidth="1"/>
    <col min="13056" max="13057" width="10" style="956" customWidth="1"/>
    <col min="13058" max="13058" width="9.85546875" style="956" customWidth="1"/>
    <col min="13059" max="13059" width="12.42578125" style="956" customWidth="1"/>
    <col min="13060" max="13065" width="12.7109375" style="956" customWidth="1"/>
    <col min="13066" max="13066" width="13" style="956" customWidth="1"/>
    <col min="13067" max="13068" width="12.7109375" style="956" customWidth="1"/>
    <col min="13069" max="13069" width="9.140625" style="956"/>
    <col min="13070" max="13070" width="11.140625" style="956" bestFit="1" customWidth="1"/>
    <col min="13071" max="13309" width="9.140625" style="956"/>
    <col min="13310" max="13310" width="4" style="956" customWidth="1"/>
    <col min="13311" max="13311" width="30.7109375" style="956" customWidth="1"/>
    <col min="13312" max="13313" width="10" style="956" customWidth="1"/>
    <col min="13314" max="13314" width="9.85546875" style="956" customWidth="1"/>
    <col min="13315" max="13315" width="12.42578125" style="956" customWidth="1"/>
    <col min="13316" max="13321" width="12.7109375" style="956" customWidth="1"/>
    <col min="13322" max="13322" width="13" style="956" customWidth="1"/>
    <col min="13323" max="13324" width="12.7109375" style="956" customWidth="1"/>
    <col min="13325" max="13325" width="9.140625" style="956"/>
    <col min="13326" max="13326" width="11.140625" style="956" bestFit="1" customWidth="1"/>
    <col min="13327" max="13565" width="9.140625" style="956"/>
    <col min="13566" max="13566" width="4" style="956" customWidth="1"/>
    <col min="13567" max="13567" width="30.7109375" style="956" customWidth="1"/>
    <col min="13568" max="13569" width="10" style="956" customWidth="1"/>
    <col min="13570" max="13570" width="9.85546875" style="956" customWidth="1"/>
    <col min="13571" max="13571" width="12.42578125" style="956" customWidth="1"/>
    <col min="13572" max="13577" width="12.7109375" style="956" customWidth="1"/>
    <col min="13578" max="13578" width="13" style="956" customWidth="1"/>
    <col min="13579" max="13580" width="12.7109375" style="956" customWidth="1"/>
    <col min="13581" max="13581" width="9.140625" style="956"/>
    <col min="13582" max="13582" width="11.140625" style="956" bestFit="1" customWidth="1"/>
    <col min="13583" max="13821" width="9.140625" style="956"/>
    <col min="13822" max="13822" width="4" style="956" customWidth="1"/>
    <col min="13823" max="13823" width="30.7109375" style="956" customWidth="1"/>
    <col min="13824" max="13825" width="10" style="956" customWidth="1"/>
    <col min="13826" max="13826" width="9.85546875" style="956" customWidth="1"/>
    <col min="13827" max="13827" width="12.42578125" style="956" customWidth="1"/>
    <col min="13828" max="13833" width="12.7109375" style="956" customWidth="1"/>
    <col min="13834" max="13834" width="13" style="956" customWidth="1"/>
    <col min="13835" max="13836" width="12.7109375" style="956" customWidth="1"/>
    <col min="13837" max="13837" width="9.140625" style="956"/>
    <col min="13838" max="13838" width="11.140625" style="956" bestFit="1" customWidth="1"/>
    <col min="13839" max="14077" width="9.140625" style="956"/>
    <col min="14078" max="14078" width="4" style="956" customWidth="1"/>
    <col min="14079" max="14079" width="30.7109375" style="956" customWidth="1"/>
    <col min="14080" max="14081" width="10" style="956" customWidth="1"/>
    <col min="14082" max="14082" width="9.85546875" style="956" customWidth="1"/>
    <col min="14083" max="14083" width="12.42578125" style="956" customWidth="1"/>
    <col min="14084" max="14089" width="12.7109375" style="956" customWidth="1"/>
    <col min="14090" max="14090" width="13" style="956" customWidth="1"/>
    <col min="14091" max="14092" width="12.7109375" style="956" customWidth="1"/>
    <col min="14093" max="14093" width="9.140625" style="956"/>
    <col min="14094" max="14094" width="11.140625" style="956" bestFit="1" customWidth="1"/>
    <col min="14095" max="14333" width="9.140625" style="956"/>
    <col min="14334" max="14334" width="4" style="956" customWidth="1"/>
    <col min="14335" max="14335" width="30.7109375" style="956" customWidth="1"/>
    <col min="14336" max="14337" width="10" style="956" customWidth="1"/>
    <col min="14338" max="14338" width="9.85546875" style="956" customWidth="1"/>
    <col min="14339" max="14339" width="12.42578125" style="956" customWidth="1"/>
    <col min="14340" max="14345" width="12.7109375" style="956" customWidth="1"/>
    <col min="14346" max="14346" width="13" style="956" customWidth="1"/>
    <col min="14347" max="14348" width="12.7109375" style="956" customWidth="1"/>
    <col min="14349" max="14349" width="9.140625" style="956"/>
    <col min="14350" max="14350" width="11.140625" style="956" bestFit="1" customWidth="1"/>
    <col min="14351" max="14589" width="9.140625" style="956"/>
    <col min="14590" max="14590" width="4" style="956" customWidth="1"/>
    <col min="14591" max="14591" width="30.7109375" style="956" customWidth="1"/>
    <col min="14592" max="14593" width="10" style="956" customWidth="1"/>
    <col min="14594" max="14594" width="9.85546875" style="956" customWidth="1"/>
    <col min="14595" max="14595" width="12.42578125" style="956" customWidth="1"/>
    <col min="14596" max="14601" width="12.7109375" style="956" customWidth="1"/>
    <col min="14602" max="14602" width="13" style="956" customWidth="1"/>
    <col min="14603" max="14604" width="12.7109375" style="956" customWidth="1"/>
    <col min="14605" max="14605" width="9.140625" style="956"/>
    <col min="14606" max="14606" width="11.140625" style="956" bestFit="1" customWidth="1"/>
    <col min="14607" max="14845" width="9.140625" style="956"/>
    <col min="14846" max="14846" width="4" style="956" customWidth="1"/>
    <col min="14847" max="14847" width="30.7109375" style="956" customWidth="1"/>
    <col min="14848" max="14849" width="10" style="956" customWidth="1"/>
    <col min="14850" max="14850" width="9.85546875" style="956" customWidth="1"/>
    <col min="14851" max="14851" width="12.42578125" style="956" customWidth="1"/>
    <col min="14852" max="14857" width="12.7109375" style="956" customWidth="1"/>
    <col min="14858" max="14858" width="13" style="956" customWidth="1"/>
    <col min="14859" max="14860" width="12.7109375" style="956" customWidth="1"/>
    <col min="14861" max="14861" width="9.140625" style="956"/>
    <col min="14862" max="14862" width="11.140625" style="956" bestFit="1" customWidth="1"/>
    <col min="14863" max="15101" width="9.140625" style="956"/>
    <col min="15102" max="15102" width="4" style="956" customWidth="1"/>
    <col min="15103" max="15103" width="30.7109375" style="956" customWidth="1"/>
    <col min="15104" max="15105" width="10" style="956" customWidth="1"/>
    <col min="15106" max="15106" width="9.85546875" style="956" customWidth="1"/>
    <col min="15107" max="15107" width="12.42578125" style="956" customWidth="1"/>
    <col min="15108" max="15113" width="12.7109375" style="956" customWidth="1"/>
    <col min="15114" max="15114" width="13" style="956" customWidth="1"/>
    <col min="15115" max="15116" width="12.7109375" style="956" customWidth="1"/>
    <col min="15117" max="15117" width="9.140625" style="956"/>
    <col min="15118" max="15118" width="11.140625" style="956" bestFit="1" customWidth="1"/>
    <col min="15119" max="15357" width="9.140625" style="956"/>
    <col min="15358" max="15358" width="4" style="956" customWidth="1"/>
    <col min="15359" max="15359" width="30.7109375" style="956" customWidth="1"/>
    <col min="15360" max="15361" width="10" style="956" customWidth="1"/>
    <col min="15362" max="15362" width="9.85546875" style="956" customWidth="1"/>
    <col min="15363" max="15363" width="12.42578125" style="956" customWidth="1"/>
    <col min="15364" max="15369" width="12.7109375" style="956" customWidth="1"/>
    <col min="15370" max="15370" width="13" style="956" customWidth="1"/>
    <col min="15371" max="15372" width="12.7109375" style="956" customWidth="1"/>
    <col min="15373" max="15373" width="9.140625" style="956"/>
    <col min="15374" max="15374" width="11.140625" style="956" bestFit="1" customWidth="1"/>
    <col min="15375" max="15613" width="9.140625" style="956"/>
    <col min="15614" max="15614" width="4" style="956" customWidth="1"/>
    <col min="15615" max="15615" width="30.7109375" style="956" customWidth="1"/>
    <col min="15616" max="15617" width="10" style="956" customWidth="1"/>
    <col min="15618" max="15618" width="9.85546875" style="956" customWidth="1"/>
    <col min="15619" max="15619" width="12.42578125" style="956" customWidth="1"/>
    <col min="15620" max="15625" width="12.7109375" style="956" customWidth="1"/>
    <col min="15626" max="15626" width="13" style="956" customWidth="1"/>
    <col min="15627" max="15628" width="12.7109375" style="956" customWidth="1"/>
    <col min="15629" max="15629" width="9.140625" style="956"/>
    <col min="15630" max="15630" width="11.140625" style="956" bestFit="1" customWidth="1"/>
    <col min="15631" max="15869" width="9.140625" style="956"/>
    <col min="15870" max="15870" width="4" style="956" customWidth="1"/>
    <col min="15871" max="15871" width="30.7109375" style="956" customWidth="1"/>
    <col min="15872" max="15873" width="10" style="956" customWidth="1"/>
    <col min="15874" max="15874" width="9.85546875" style="956" customWidth="1"/>
    <col min="15875" max="15875" width="12.42578125" style="956" customWidth="1"/>
    <col min="15876" max="15881" width="12.7109375" style="956" customWidth="1"/>
    <col min="15882" max="15882" width="13" style="956" customWidth="1"/>
    <col min="15883" max="15884" width="12.7109375" style="956" customWidth="1"/>
    <col min="15885" max="15885" width="9.140625" style="956"/>
    <col min="15886" max="15886" width="11.140625" style="956" bestFit="1" customWidth="1"/>
    <col min="15887" max="16125" width="9.140625" style="956"/>
    <col min="16126" max="16126" width="4" style="956" customWidth="1"/>
    <col min="16127" max="16127" width="30.7109375" style="956" customWidth="1"/>
    <col min="16128" max="16129" width="10" style="956" customWidth="1"/>
    <col min="16130" max="16130" width="9.85546875" style="956" customWidth="1"/>
    <col min="16131" max="16131" width="12.42578125" style="956" customWidth="1"/>
    <col min="16132" max="16137" width="12.7109375" style="956" customWidth="1"/>
    <col min="16138" max="16138" width="13" style="956" customWidth="1"/>
    <col min="16139" max="16140" width="12.7109375" style="956" customWidth="1"/>
    <col min="16141" max="16141" width="9.140625" style="956"/>
    <col min="16142" max="16142" width="11.140625" style="956" bestFit="1" customWidth="1"/>
    <col min="16143" max="16384" width="9.140625" style="956"/>
  </cols>
  <sheetData>
    <row r="1" spans="1:19" s="954" customFormat="1" ht="13.5" thickBot="1">
      <c r="A1" s="954" t="s">
        <v>15</v>
      </c>
      <c r="B1" s="955"/>
    </row>
    <row r="2" spans="1:19" ht="23.25" thickBot="1">
      <c r="A2" s="1724" t="s">
        <v>16</v>
      </c>
      <c r="B2" s="1725"/>
      <c r="C2" s="1725"/>
      <c r="D2" s="1725"/>
      <c r="E2" s="1725"/>
      <c r="F2" s="1725"/>
      <c r="G2" s="1725"/>
      <c r="H2" s="1725"/>
      <c r="I2" s="1725"/>
      <c r="J2" s="1725"/>
      <c r="K2" s="1725"/>
      <c r="L2" s="1725"/>
      <c r="M2" s="1544"/>
      <c r="N2" s="1545"/>
    </row>
    <row r="3" spans="1:19" ht="16.5" thickBot="1">
      <c r="A3" s="1726" t="s">
        <v>17</v>
      </c>
      <c r="B3" s="1727"/>
      <c r="C3" s="1727"/>
      <c r="D3" s="1727"/>
      <c r="E3" s="1727"/>
      <c r="F3" s="1727"/>
      <c r="G3" s="1727"/>
      <c r="H3" s="1727"/>
      <c r="I3" s="1727"/>
      <c r="J3" s="1727"/>
      <c r="K3" s="1727"/>
      <c r="L3" s="1727"/>
      <c r="M3" s="1546"/>
      <c r="N3" s="1547"/>
    </row>
    <row r="4" spans="1:19" ht="26.25" thickBot="1">
      <c r="A4" s="957" t="s">
        <v>18</v>
      </c>
      <c r="B4" s="958"/>
      <c r="C4" s="959" t="s">
        <v>19</v>
      </c>
      <c r="D4" s="959" t="s">
        <v>19</v>
      </c>
      <c r="E4" s="960"/>
      <c r="F4" s="1728" t="s">
        <v>20</v>
      </c>
      <c r="G4" s="961" t="s">
        <v>2032</v>
      </c>
      <c r="H4" s="1598">
        <f>31450-(7242.8*2)</f>
        <v>16964.400000000001</v>
      </c>
      <c r="I4" s="969"/>
      <c r="J4" s="970"/>
      <c r="K4" s="962"/>
      <c r="L4" s="963"/>
      <c r="M4" s="962" t="s">
        <v>22</v>
      </c>
      <c r="N4" s="963" t="s">
        <v>23</v>
      </c>
    </row>
    <row r="5" spans="1:19" ht="26.25" thickBot="1">
      <c r="A5" s="964" t="s">
        <v>26</v>
      </c>
      <c r="B5" s="965"/>
      <c r="C5" s="966" t="s">
        <v>27</v>
      </c>
      <c r="D5" s="966" t="s">
        <v>27</v>
      </c>
      <c r="E5" s="967"/>
      <c r="F5" s="1729"/>
      <c r="G5" s="968" t="s">
        <v>28</v>
      </c>
      <c r="H5" s="762" t="s">
        <v>0</v>
      </c>
      <c r="I5" s="969"/>
      <c r="J5" s="970"/>
      <c r="K5" s="969"/>
      <c r="L5" s="970"/>
      <c r="M5" s="969" t="s">
        <v>29</v>
      </c>
      <c r="N5" s="970"/>
      <c r="O5" s="970" t="s">
        <v>18</v>
      </c>
      <c r="P5" s="970" t="s">
        <v>31</v>
      </c>
    </row>
    <row r="6" spans="1:19" ht="13.5" thickBot="1">
      <c r="A6" s="971"/>
      <c r="B6" s="972"/>
      <c r="E6" s="974"/>
      <c r="F6" s="355"/>
      <c r="G6" s="976"/>
      <c r="H6" s="974"/>
      <c r="I6" s="976"/>
      <c r="J6" s="974"/>
      <c r="K6" s="976"/>
      <c r="L6" s="974"/>
      <c r="M6" s="976"/>
      <c r="N6" s="974"/>
    </row>
    <row r="7" spans="1:19" ht="31.5" customHeight="1" thickBot="1">
      <c r="A7" s="1730" t="s">
        <v>32</v>
      </c>
      <c r="B7" s="1733" t="s">
        <v>33</v>
      </c>
      <c r="C7" s="1733" t="s">
        <v>34</v>
      </c>
      <c r="D7" s="1733" t="s">
        <v>2033</v>
      </c>
      <c r="E7" s="1738" t="s">
        <v>35</v>
      </c>
      <c r="F7" s="1741" t="s">
        <v>36</v>
      </c>
      <c r="G7" s="1718" t="s">
        <v>1281</v>
      </c>
      <c r="H7" s="1719"/>
      <c r="I7" s="1744" t="s">
        <v>2034</v>
      </c>
      <c r="J7" s="1745"/>
      <c r="K7" s="1718" t="s">
        <v>2035</v>
      </c>
      <c r="L7" s="1719"/>
      <c r="M7" s="1718" t="s">
        <v>2036</v>
      </c>
      <c r="N7" s="1719"/>
    </row>
    <row r="8" spans="1:19" ht="19.5" customHeight="1">
      <c r="A8" s="1731"/>
      <c r="B8" s="1734"/>
      <c r="C8" s="1736"/>
      <c r="D8" s="1736"/>
      <c r="E8" s="1739"/>
      <c r="F8" s="1742"/>
      <c r="G8" s="1720" t="s">
        <v>2037</v>
      </c>
      <c r="H8" s="1721"/>
      <c r="I8" s="1722" t="s">
        <v>2038</v>
      </c>
      <c r="J8" s="1723"/>
      <c r="K8" s="1720" t="s">
        <v>2039</v>
      </c>
      <c r="L8" s="1721"/>
      <c r="M8" s="1720" t="s">
        <v>2040</v>
      </c>
      <c r="N8" s="1721"/>
    </row>
    <row r="9" spans="1:19" ht="21.75" customHeight="1" thickBot="1">
      <c r="A9" s="1731"/>
      <c r="B9" s="1734"/>
      <c r="C9" s="1736"/>
      <c r="D9" s="1736"/>
      <c r="E9" s="1739"/>
      <c r="F9" s="1742"/>
      <c r="G9" s="1720"/>
      <c r="H9" s="1721"/>
      <c r="I9" s="1722"/>
      <c r="J9" s="1723"/>
      <c r="K9" s="1720"/>
      <c r="L9" s="1721"/>
      <c r="M9" s="1720"/>
      <c r="N9" s="1721"/>
      <c r="O9" s="1563"/>
    </row>
    <row r="10" spans="1:19" ht="39" customHeight="1" thickBot="1">
      <c r="A10" s="1731"/>
      <c r="B10" s="1734"/>
      <c r="C10" s="1736"/>
      <c r="D10" s="1736"/>
      <c r="E10" s="1739"/>
      <c r="F10" s="1742"/>
      <c r="G10" s="1746" t="s">
        <v>1377</v>
      </c>
      <c r="H10" s="1747"/>
      <c r="I10" s="1748" t="s">
        <v>2041</v>
      </c>
      <c r="J10" s="1745"/>
      <c r="K10" s="1713" t="s">
        <v>2042</v>
      </c>
      <c r="L10" s="1714"/>
      <c r="M10" s="1713" t="s">
        <v>2043</v>
      </c>
      <c r="N10" s="1714"/>
    </row>
    <row r="11" spans="1:19" ht="13.5" thickBot="1">
      <c r="A11" s="1731"/>
      <c r="B11" s="1734"/>
      <c r="C11" s="1736"/>
      <c r="D11" s="1736"/>
      <c r="E11" s="1739"/>
      <c r="F11" s="1742"/>
      <c r="G11" s="1715" t="s">
        <v>46</v>
      </c>
      <c r="H11" s="1715"/>
      <c r="I11" s="1715" t="s">
        <v>46</v>
      </c>
      <c r="J11" s="1715"/>
      <c r="K11" s="1716" t="s">
        <v>46</v>
      </c>
      <c r="L11" s="1717"/>
      <c r="M11" s="1716" t="s">
        <v>46</v>
      </c>
      <c r="N11" s="1717"/>
      <c r="O11" s="1563"/>
    </row>
    <row r="12" spans="1:19" ht="13.5" thickBot="1">
      <c r="A12" s="1732"/>
      <c r="B12" s="1735"/>
      <c r="C12" s="1737"/>
      <c r="D12" s="1737"/>
      <c r="E12" s="1740"/>
      <c r="F12" s="1743"/>
      <c r="G12" s="1312" t="s">
        <v>47</v>
      </c>
      <c r="H12" s="1311" t="s">
        <v>48</v>
      </c>
      <c r="I12" s="1312" t="s">
        <v>47</v>
      </c>
      <c r="J12" s="1311" t="s">
        <v>48</v>
      </c>
      <c r="K12" s="984" t="s">
        <v>47</v>
      </c>
      <c r="L12" s="983" t="s">
        <v>48</v>
      </c>
      <c r="M12" s="984" t="s">
        <v>47</v>
      </c>
      <c r="N12" s="983" t="s">
        <v>48</v>
      </c>
      <c r="Q12" s="1111"/>
      <c r="R12" s="1111"/>
      <c r="S12" s="1111"/>
    </row>
    <row r="13" spans="1:19" ht="165.75" thickBot="1">
      <c r="A13" s="1599">
        <v>1</v>
      </c>
      <c r="B13" s="1600" t="s">
        <v>2044</v>
      </c>
      <c r="C13" s="1358"/>
      <c r="D13" s="1358"/>
      <c r="E13" s="1503" t="s">
        <v>192</v>
      </c>
      <c r="F13" s="1358">
        <v>2</v>
      </c>
      <c r="G13" s="1601">
        <v>12375</v>
      </c>
      <c r="H13" s="1602">
        <f>G13*0.925</f>
        <v>11446.875</v>
      </c>
      <c r="I13" s="1603">
        <v>0</v>
      </c>
      <c r="J13" s="1604" t="s">
        <v>2045</v>
      </c>
      <c r="K13" s="1602">
        <v>26445</v>
      </c>
      <c r="L13" s="1602">
        <f>K13*0.95</f>
        <v>25122.75</v>
      </c>
      <c r="M13" s="1526">
        <v>15000</v>
      </c>
      <c r="N13" s="1527">
        <f>M13*0.97</f>
        <v>14550</v>
      </c>
      <c r="O13" s="1605">
        <v>1100026853</v>
      </c>
      <c r="P13" s="1606">
        <v>10</v>
      </c>
      <c r="Q13" s="1111"/>
      <c r="R13" s="1111"/>
      <c r="S13" s="1111"/>
    </row>
    <row r="14" spans="1:19" ht="30.75" thickBot="1">
      <c r="A14" s="1607">
        <v>2</v>
      </c>
      <c r="B14" s="1315" t="s">
        <v>2046</v>
      </c>
      <c r="C14" s="1608">
        <v>15725</v>
      </c>
      <c r="D14" s="1609" t="s">
        <v>2047</v>
      </c>
      <c r="E14" s="1315" t="s">
        <v>192</v>
      </c>
      <c r="F14" s="1318">
        <v>2</v>
      </c>
      <c r="G14" s="1602">
        <v>7830</v>
      </c>
      <c r="H14" s="1610">
        <f>G14*0.925</f>
        <v>7242.75</v>
      </c>
      <c r="I14" s="1602">
        <v>9460</v>
      </c>
      <c r="J14" s="1610">
        <v>9460</v>
      </c>
      <c r="K14" s="1602">
        <v>8533</v>
      </c>
      <c r="L14" s="1611">
        <f>K14*0.95</f>
        <v>8106.3499999999995</v>
      </c>
      <c r="M14" s="1602">
        <v>8500</v>
      </c>
      <c r="N14" s="1611">
        <f>M14*0.97</f>
        <v>8245</v>
      </c>
      <c r="O14" s="1605">
        <v>1100026853</v>
      </c>
      <c r="P14" s="1606">
        <v>20</v>
      </c>
      <c r="Q14" s="1111"/>
      <c r="R14" s="1111"/>
      <c r="S14" s="1111"/>
    </row>
    <row r="15" spans="1:19" ht="15.75" thickBot="1">
      <c r="A15" s="1314"/>
      <c r="B15" s="1612"/>
      <c r="C15" s="997"/>
      <c r="D15" s="997"/>
      <c r="E15" s="1314"/>
      <c r="F15" s="1314"/>
      <c r="G15" s="1034"/>
      <c r="H15" s="1033"/>
      <c r="I15" s="1034"/>
      <c r="J15" s="1033"/>
      <c r="K15" s="1536"/>
      <c r="L15" s="1613"/>
      <c r="M15" s="1536"/>
      <c r="N15" s="1613"/>
      <c r="O15" s="1614" t="s">
        <v>1386</v>
      </c>
      <c r="P15" s="1614" t="s">
        <v>147</v>
      </c>
      <c r="Q15" s="1111"/>
      <c r="R15" s="1111"/>
      <c r="S15" s="1111"/>
    </row>
    <row r="16" spans="1:19" s="954" customFormat="1" ht="13.5" thickBot="1">
      <c r="A16" s="1041" t="s">
        <v>58</v>
      </c>
      <c r="B16" s="1042"/>
      <c r="C16" s="373">
        <f>SUMPRODUCT(C13:C15, $F$13:$F$15)</f>
        <v>31450</v>
      </c>
      <c r="D16" s="1043"/>
      <c r="E16" s="1045"/>
      <c r="F16" s="575">
        <f>SUM(F13:F14)</f>
        <v>4</v>
      </c>
      <c r="G16" s="373">
        <f t="shared" ref="G16:N16" si="0">SUMPRODUCT(G13:G15, $F$13:$F$15)</f>
        <v>40410</v>
      </c>
      <c r="H16" s="373">
        <f t="shared" si="0"/>
        <v>37379.25</v>
      </c>
      <c r="I16" s="373">
        <f t="shared" si="0"/>
        <v>18920</v>
      </c>
      <c r="J16" s="373">
        <f t="shared" si="0"/>
        <v>18920</v>
      </c>
      <c r="K16" s="373">
        <f t="shared" si="0"/>
        <v>69956</v>
      </c>
      <c r="L16" s="373">
        <f t="shared" si="0"/>
        <v>66458.2</v>
      </c>
      <c r="M16" s="373">
        <f t="shared" si="0"/>
        <v>47000</v>
      </c>
      <c r="N16" s="373">
        <f t="shared" si="0"/>
        <v>45590</v>
      </c>
      <c r="O16" s="373"/>
      <c r="P16" s="374"/>
      <c r="Q16" s="1615"/>
      <c r="R16" s="577"/>
      <c r="S16" s="1615"/>
    </row>
    <row r="17" spans="1:19">
      <c r="A17" s="1704" t="s">
        <v>59</v>
      </c>
      <c r="B17" s="1705"/>
      <c r="C17" s="1048"/>
      <c r="D17" s="1048"/>
      <c r="E17" s="1048"/>
      <c r="F17" s="376"/>
      <c r="G17" s="379"/>
      <c r="H17" s="377"/>
      <c r="I17" s="379"/>
      <c r="J17" s="377"/>
      <c r="K17" s="379"/>
      <c r="L17" s="379"/>
      <c r="M17" s="379"/>
      <c r="N17" s="377"/>
      <c r="Q17" s="1111"/>
      <c r="R17" s="1616"/>
      <c r="S17" s="1111"/>
    </row>
    <row r="18" spans="1:19">
      <c r="A18" s="1539" t="s">
        <v>60</v>
      </c>
      <c r="B18" s="1540"/>
      <c r="C18" s="1048"/>
      <c r="D18" s="1048"/>
      <c r="E18" s="1048"/>
      <c r="F18" s="376"/>
      <c r="G18" s="382"/>
      <c r="H18" s="380" t="s">
        <v>61</v>
      </c>
      <c r="I18" s="382"/>
      <c r="J18" s="380" t="s">
        <v>61</v>
      </c>
      <c r="K18" s="382"/>
      <c r="L18" s="382"/>
      <c r="M18" s="382"/>
      <c r="N18" s="380"/>
    </row>
    <row r="19" spans="1:19">
      <c r="A19" s="1706" t="s">
        <v>62</v>
      </c>
      <c r="B19" s="1707"/>
      <c r="C19" s="1048"/>
      <c r="D19" s="1048"/>
      <c r="E19" s="1048"/>
      <c r="F19" s="376"/>
      <c r="G19" s="382"/>
      <c r="H19" s="380">
        <v>1200</v>
      </c>
      <c r="I19" s="382"/>
      <c r="J19" s="380"/>
      <c r="K19" s="382">
        <v>1000</v>
      </c>
      <c r="L19" s="382">
        <v>1000</v>
      </c>
      <c r="M19" s="382"/>
      <c r="N19" s="380"/>
    </row>
    <row r="20" spans="1:19" ht="12.95" customHeight="1">
      <c r="A20" s="1053" t="s">
        <v>63</v>
      </c>
      <c r="B20" s="1054"/>
      <c r="C20" s="1054"/>
      <c r="D20" s="1054"/>
      <c r="E20" s="1054"/>
      <c r="F20" s="1056"/>
      <c r="G20" s="1057">
        <v>0.125</v>
      </c>
      <c r="H20" s="1057">
        <v>0.125</v>
      </c>
      <c r="I20" s="1057">
        <v>0.125</v>
      </c>
      <c r="J20" s="1057">
        <v>0.125</v>
      </c>
      <c r="K20" s="1057">
        <v>0.125</v>
      </c>
      <c r="L20" s="1057">
        <v>0.125</v>
      </c>
      <c r="M20" s="1057">
        <v>0.125</v>
      </c>
      <c r="N20" s="1057">
        <v>0.125</v>
      </c>
    </row>
    <row r="21" spans="1:19" ht="12.95" customHeight="1">
      <c r="A21" s="1053"/>
      <c r="B21" s="1054" t="s">
        <v>64</v>
      </c>
      <c r="C21" s="1058"/>
      <c r="D21" s="1058"/>
      <c r="E21" s="1058"/>
      <c r="F21" s="1059"/>
      <c r="G21" s="386">
        <f t="shared" ref="G21:N21" si="1">(G16+G17+G18+G19)*G20</f>
        <v>5051.25</v>
      </c>
      <c r="H21" s="384">
        <f t="shared" ref="H21:J21" si="2">(H16+H17+H19)*H20</f>
        <v>4822.40625</v>
      </c>
      <c r="I21" s="386">
        <f t="shared" ref="I21" si="3">(I16+I17+I18+I19)*I20</f>
        <v>2365</v>
      </c>
      <c r="J21" s="384">
        <f t="shared" si="2"/>
        <v>2365</v>
      </c>
      <c r="K21" s="386">
        <f t="shared" si="1"/>
        <v>8869.5</v>
      </c>
      <c r="L21" s="386">
        <f t="shared" si="1"/>
        <v>8432.2749999999996</v>
      </c>
      <c r="M21" s="386">
        <f t="shared" si="1"/>
        <v>5875</v>
      </c>
      <c r="N21" s="384">
        <f t="shared" si="1"/>
        <v>5698.75</v>
      </c>
    </row>
    <row r="22" spans="1:19">
      <c r="A22" s="1706" t="s">
        <v>65</v>
      </c>
      <c r="B22" s="1707"/>
      <c r="C22" s="1058"/>
      <c r="D22" s="1058"/>
      <c r="E22" s="1060"/>
      <c r="F22" s="1061"/>
      <c r="G22" s="387"/>
      <c r="H22" s="387"/>
      <c r="I22" s="387"/>
      <c r="J22" s="387"/>
      <c r="K22" s="387">
        <v>0.13500000000000001</v>
      </c>
      <c r="L22" s="387">
        <v>0.13500000000000001</v>
      </c>
      <c r="M22" s="387">
        <v>0.13500000000000001</v>
      </c>
      <c r="N22" s="387">
        <v>0.13500000000000001</v>
      </c>
    </row>
    <row r="23" spans="1:19" ht="12.95" customHeight="1">
      <c r="A23" s="1539"/>
      <c r="B23" s="1540" t="s">
        <v>66</v>
      </c>
      <c r="C23" s="1058"/>
      <c r="D23" s="1058"/>
      <c r="E23" s="1060"/>
      <c r="F23" s="1061"/>
      <c r="G23" s="386">
        <f t="shared" ref="G23:N23" si="4">(G21+G17+G18+G19+G16)*G22</f>
        <v>0</v>
      </c>
      <c r="H23" s="384">
        <f t="shared" ref="H23:J23" si="5">(H21+H17+H19+H16)*H22</f>
        <v>0</v>
      </c>
      <c r="I23" s="386">
        <f t="shared" ref="I23" si="6">(I21+I17+I18+I19+I16)*I22</f>
        <v>0</v>
      </c>
      <c r="J23" s="384">
        <f t="shared" si="5"/>
        <v>0</v>
      </c>
      <c r="K23" s="386">
        <f t="shared" si="4"/>
        <v>10776.442500000001</v>
      </c>
      <c r="L23" s="386">
        <f t="shared" si="4"/>
        <v>10245.214124999999</v>
      </c>
      <c r="M23" s="386">
        <f t="shared" si="4"/>
        <v>7138.1250000000009</v>
      </c>
      <c r="N23" s="386">
        <f t="shared" si="4"/>
        <v>6923.9812500000007</v>
      </c>
    </row>
    <row r="24" spans="1:19" ht="12.95" customHeight="1">
      <c r="A24" s="1539" t="s">
        <v>67</v>
      </c>
      <c r="B24" s="1540"/>
      <c r="C24" s="1058"/>
      <c r="D24" s="1058"/>
      <c r="E24" s="1060"/>
      <c r="F24" s="1061"/>
      <c r="G24" s="387">
        <v>0.02</v>
      </c>
      <c r="H24" s="387">
        <v>0.02</v>
      </c>
      <c r="I24" s="387">
        <v>0.02</v>
      </c>
      <c r="J24" s="387">
        <v>0.02</v>
      </c>
      <c r="K24" s="387"/>
      <c r="L24" s="387"/>
      <c r="M24" s="387"/>
      <c r="N24" s="387"/>
    </row>
    <row r="25" spans="1:19" ht="12.95" customHeight="1">
      <c r="A25" s="1539"/>
      <c r="B25" s="1540" t="s">
        <v>68</v>
      </c>
      <c r="C25" s="1058"/>
      <c r="D25" s="1058"/>
      <c r="E25" s="1060"/>
      <c r="F25" s="1061"/>
      <c r="G25" s="386">
        <f t="shared" ref="G25:L25" si="7">(G21+G17+G18+G19+G16)*G24</f>
        <v>909.22500000000002</v>
      </c>
      <c r="H25" s="384">
        <f t="shared" ref="H25:J25" si="8">(H21+H17+H19+H16)*H24</f>
        <v>868.03312500000004</v>
      </c>
      <c r="I25" s="386">
        <f t="shared" ref="I25" si="9">(I21+I17+I18+I19+I16)*I24</f>
        <v>425.7</v>
      </c>
      <c r="J25" s="384">
        <f t="shared" si="8"/>
        <v>425.7</v>
      </c>
      <c r="K25" s="386">
        <f t="shared" si="7"/>
        <v>0</v>
      </c>
      <c r="L25" s="386">
        <f t="shared" si="7"/>
        <v>0</v>
      </c>
      <c r="M25" s="386"/>
      <c r="N25" s="384"/>
    </row>
    <row r="26" spans="1:19" ht="12.95" customHeight="1">
      <c r="A26" s="1706" t="s">
        <v>69</v>
      </c>
      <c r="B26" s="1707"/>
      <c r="C26" s="1058"/>
      <c r="D26" s="1058"/>
      <c r="E26" s="1062"/>
      <c r="F26" s="1061"/>
      <c r="G26" s="389"/>
      <c r="H26" s="387"/>
      <c r="I26" s="389"/>
      <c r="J26" s="387"/>
      <c r="K26" s="389"/>
      <c r="L26" s="389"/>
      <c r="M26" s="389"/>
      <c r="N26" s="387"/>
    </row>
    <row r="27" spans="1:19" ht="12.95" customHeight="1">
      <c r="A27" s="1541"/>
      <c r="B27" s="1542" t="s">
        <v>70</v>
      </c>
      <c r="C27" s="1065"/>
      <c r="D27" s="1065"/>
      <c r="E27" s="1067"/>
      <c r="F27" s="1068"/>
      <c r="G27" s="386">
        <f t="shared" ref="G27:N27" si="10">G16*G26</f>
        <v>0</v>
      </c>
      <c r="H27" s="384">
        <f t="shared" si="10"/>
        <v>0</v>
      </c>
      <c r="I27" s="386">
        <f t="shared" si="10"/>
        <v>0</v>
      </c>
      <c r="J27" s="384">
        <f t="shared" si="10"/>
        <v>0</v>
      </c>
      <c r="K27" s="386">
        <f t="shared" si="10"/>
        <v>0</v>
      </c>
      <c r="L27" s="386">
        <f t="shared" si="10"/>
        <v>0</v>
      </c>
      <c r="M27" s="386">
        <f t="shared" si="10"/>
        <v>0</v>
      </c>
      <c r="N27" s="384">
        <f t="shared" si="10"/>
        <v>0</v>
      </c>
    </row>
    <row r="28" spans="1:19" ht="13.5" thickBot="1">
      <c r="A28" s="1708"/>
      <c r="B28" s="1709"/>
      <c r="C28" s="1065"/>
      <c r="D28" s="1065"/>
      <c r="E28" s="1065"/>
      <c r="F28" s="391"/>
      <c r="G28" s="394"/>
      <c r="H28" s="392"/>
      <c r="I28" s="394"/>
      <c r="J28" s="392"/>
      <c r="K28" s="394"/>
      <c r="L28" s="394"/>
      <c r="M28" s="394"/>
      <c r="N28" s="392"/>
    </row>
    <row r="29" spans="1:19" ht="13.5" thickBot="1">
      <c r="A29" s="1069" t="s">
        <v>71</v>
      </c>
      <c r="B29" s="1070"/>
      <c r="C29" s="1070"/>
      <c r="D29" s="1070"/>
      <c r="E29" s="1070"/>
      <c r="F29" s="1072"/>
      <c r="G29" s="1073">
        <f>SUM(G16,G17,G19,G21,G23)</f>
        <v>45461.25</v>
      </c>
      <c r="H29" s="1074">
        <f>SUM(H16+H21+H25+H28)</f>
        <v>43069.689375000002</v>
      </c>
      <c r="I29" s="1073">
        <f>SUM(I16,I17,I19,I21,I23)</f>
        <v>21285</v>
      </c>
      <c r="J29" s="1074">
        <f>SUM(J16+J21+J25+J28)</f>
        <v>21710.7</v>
      </c>
      <c r="K29" s="1073">
        <f>SUM(K16,K17,K19,K21,K23)</f>
        <v>90601.942500000005</v>
      </c>
      <c r="L29" s="1073">
        <f>SUM(L16,L17,L19,L21,L23)</f>
        <v>86135.68912499999</v>
      </c>
      <c r="M29" s="1073">
        <f>SUM(M16,M17,M19,M21,M23)</f>
        <v>60013.125</v>
      </c>
      <c r="N29" s="1073">
        <f>SUM(N16,N17,N19,N21,N23)</f>
        <v>58212.731249999997</v>
      </c>
    </row>
    <row r="30" spans="1:19" s="1080" customFormat="1" ht="13.5" thickBot="1">
      <c r="A30" s="1075"/>
      <c r="B30" s="1076"/>
      <c r="C30" s="1076"/>
      <c r="D30" s="1076"/>
      <c r="E30" s="1076"/>
      <c r="F30" s="1076"/>
      <c r="G30" s="1078"/>
      <c r="H30" s="1079"/>
      <c r="I30" s="1078"/>
      <c r="J30" s="1079"/>
      <c r="K30" s="1078"/>
      <c r="L30" s="1078"/>
      <c r="M30" s="1078"/>
      <c r="N30" s="1078"/>
    </row>
    <row r="31" spans="1:19" s="954" customFormat="1" ht="13.5" thickBot="1">
      <c r="A31" s="1069" t="s">
        <v>72</v>
      </c>
      <c r="B31" s="1070"/>
      <c r="C31" s="1070"/>
      <c r="D31" s="1070"/>
      <c r="E31" s="1070"/>
      <c r="F31" s="1072"/>
      <c r="G31" s="1074">
        <f>G16+G25+G17</f>
        <v>41319.224999999999</v>
      </c>
      <c r="H31" s="1074">
        <f>H16+H25+H17+H19</f>
        <v>39447.283125000002</v>
      </c>
      <c r="I31" s="1074">
        <f>I16+I25+I17</f>
        <v>19345.7</v>
      </c>
      <c r="J31" s="1074">
        <f>J16+J25+J17+J19</f>
        <v>19345.7</v>
      </c>
      <c r="K31" s="1074">
        <f>K16+K25+K17</f>
        <v>69956</v>
      </c>
      <c r="L31" s="1074">
        <f>L16+L25+L17</f>
        <v>66458.2</v>
      </c>
      <c r="M31" s="1074">
        <f>M16+M25+M17</f>
        <v>47000</v>
      </c>
      <c r="N31" s="1074">
        <f>N16+N25+N17</f>
        <v>45590</v>
      </c>
    </row>
    <row r="32" spans="1:19" ht="13.5" thickBot="1">
      <c r="A32" s="1082"/>
      <c r="B32" s="1083"/>
      <c r="C32" s="1084"/>
      <c r="D32" s="1084"/>
      <c r="E32" s="1084"/>
      <c r="F32" s="397"/>
      <c r="G32" s="1108"/>
      <c r="H32" s="1441"/>
      <c r="I32" s="1108"/>
      <c r="J32" s="1441"/>
      <c r="K32" s="1108"/>
      <c r="L32" s="1440"/>
      <c r="M32" s="1108"/>
      <c r="N32" s="1440"/>
    </row>
    <row r="33" spans="1:14">
      <c r="A33" s="1086" t="s">
        <v>73</v>
      </c>
      <c r="B33" s="1087" t="s">
        <v>74</v>
      </c>
      <c r="C33" s="1088"/>
      <c r="D33" s="1088"/>
      <c r="E33" s="1088"/>
      <c r="F33" s="399"/>
      <c r="G33" s="1090" t="s">
        <v>392</v>
      </c>
      <c r="H33" s="1090" t="s">
        <v>392</v>
      </c>
      <c r="I33" s="1090" t="s">
        <v>1387</v>
      </c>
      <c r="J33" s="1090" t="s">
        <v>1387</v>
      </c>
      <c r="K33" s="1090" t="s">
        <v>1387</v>
      </c>
      <c r="L33" s="1090" t="s">
        <v>1387</v>
      </c>
      <c r="M33" s="1090" t="s">
        <v>1203</v>
      </c>
      <c r="N33" s="1090" t="s">
        <v>1203</v>
      </c>
    </row>
    <row r="34" spans="1:14" ht="13.5" thickBot="1">
      <c r="A34" s="1091" t="s">
        <v>79</v>
      </c>
      <c r="B34" s="1092" t="s">
        <v>80</v>
      </c>
      <c r="C34" s="1093"/>
      <c r="D34" s="1093"/>
      <c r="E34" s="1093"/>
      <c r="F34" s="401"/>
      <c r="G34" s="1446" t="s">
        <v>329</v>
      </c>
      <c r="H34" s="1447" t="s">
        <v>2048</v>
      </c>
      <c r="I34" s="1446" t="s">
        <v>329</v>
      </c>
      <c r="J34" s="1447" t="s">
        <v>82</v>
      </c>
      <c r="K34" s="1090" t="s">
        <v>165</v>
      </c>
      <c r="L34" s="1090" t="s">
        <v>165</v>
      </c>
      <c r="M34" s="1090" t="s">
        <v>165</v>
      </c>
      <c r="N34" s="1090" t="s">
        <v>1388</v>
      </c>
    </row>
    <row r="35" spans="1:14" ht="63.75">
      <c r="A35" s="1097" t="s">
        <v>85</v>
      </c>
      <c r="B35" s="1098" t="s">
        <v>86</v>
      </c>
      <c r="C35" s="1099"/>
      <c r="D35" s="1099"/>
      <c r="E35" s="1099"/>
      <c r="F35" s="402"/>
      <c r="G35" s="1617" t="s">
        <v>330</v>
      </c>
      <c r="H35" s="1617" t="s">
        <v>1389</v>
      </c>
      <c r="I35" s="1617" t="s">
        <v>330</v>
      </c>
      <c r="J35" s="1617" t="s">
        <v>1389</v>
      </c>
      <c r="K35" s="1448" t="s">
        <v>1390</v>
      </c>
      <c r="L35" s="1448" t="s">
        <v>168</v>
      </c>
      <c r="M35" s="1448" t="s">
        <v>1390</v>
      </c>
      <c r="N35" s="1448" t="s">
        <v>1391</v>
      </c>
    </row>
    <row r="36" spans="1:14">
      <c r="A36" s="1101" t="s">
        <v>90</v>
      </c>
      <c r="B36" s="1099" t="s">
        <v>91</v>
      </c>
      <c r="C36" s="1099"/>
      <c r="D36" s="1099"/>
      <c r="E36" s="1099"/>
      <c r="F36" s="402"/>
      <c r="G36" s="1449" t="s">
        <v>351</v>
      </c>
      <c r="H36" s="1449" t="s">
        <v>351</v>
      </c>
      <c r="I36" s="1449" t="s">
        <v>351</v>
      </c>
      <c r="J36" s="1449" t="s">
        <v>351</v>
      </c>
      <c r="K36" s="1448" t="s">
        <v>92</v>
      </c>
      <c r="L36" s="1449" t="s">
        <v>331</v>
      </c>
      <c r="M36" s="1448" t="s">
        <v>92</v>
      </c>
      <c r="N36" s="1449" t="s">
        <v>331</v>
      </c>
    </row>
    <row r="37" spans="1:14" ht="39.950000000000003" customHeight="1">
      <c r="A37" s="1101" t="s">
        <v>93</v>
      </c>
      <c r="B37" s="1098" t="s">
        <v>94</v>
      </c>
      <c r="C37" s="1099"/>
      <c r="D37" s="1099"/>
      <c r="E37" s="1099"/>
      <c r="F37" s="402"/>
      <c r="G37" s="1450" t="s">
        <v>332</v>
      </c>
      <c r="H37" s="1452" t="s">
        <v>332</v>
      </c>
      <c r="I37" s="1450" t="s">
        <v>332</v>
      </c>
      <c r="J37" s="1452" t="s">
        <v>332</v>
      </c>
      <c r="K37" s="1450"/>
      <c r="L37" s="1451"/>
      <c r="M37" s="1450"/>
      <c r="N37" s="1451"/>
    </row>
    <row r="38" spans="1:14" ht="89.25">
      <c r="A38" s="1101" t="s">
        <v>95</v>
      </c>
      <c r="B38" s="1098" t="s">
        <v>96</v>
      </c>
      <c r="C38" s="1099"/>
      <c r="D38" s="1099"/>
      <c r="E38" s="1099"/>
      <c r="F38" s="402"/>
      <c r="G38" s="1448" t="s">
        <v>97</v>
      </c>
      <c r="H38" s="1617" t="s">
        <v>98</v>
      </c>
      <c r="I38" s="1448" t="s">
        <v>97</v>
      </c>
      <c r="J38" s="1617" t="s">
        <v>98</v>
      </c>
      <c r="K38" s="1448" t="s">
        <v>97</v>
      </c>
      <c r="L38" s="1448" t="s">
        <v>97</v>
      </c>
      <c r="M38" s="1448" t="s">
        <v>97</v>
      </c>
      <c r="N38" s="1448" t="s">
        <v>97</v>
      </c>
    </row>
    <row r="39" spans="1:14" ht="51.75" thickBot="1">
      <c r="A39" s="1104" t="s">
        <v>99</v>
      </c>
      <c r="B39" s="1105" t="s">
        <v>100</v>
      </c>
      <c r="C39" s="1106"/>
      <c r="D39" s="1106"/>
      <c r="E39" s="1106"/>
      <c r="F39" s="403"/>
      <c r="G39" s="1453" t="s">
        <v>101</v>
      </c>
      <c r="H39" s="1618" t="s">
        <v>101</v>
      </c>
      <c r="I39" s="1453" t="s">
        <v>101</v>
      </c>
      <c r="J39" s="1618" t="s">
        <v>101</v>
      </c>
      <c r="K39" s="1453" t="s">
        <v>101</v>
      </c>
      <c r="L39" s="1453" t="s">
        <v>101</v>
      </c>
      <c r="M39" s="1453" t="s">
        <v>101</v>
      </c>
      <c r="N39" s="1453" t="s">
        <v>101</v>
      </c>
    </row>
    <row r="40" spans="1:14" ht="30" customHeight="1">
      <c r="A40" s="1710" t="s">
        <v>102</v>
      </c>
      <c r="B40" s="1711"/>
      <c r="C40" s="1711"/>
      <c r="D40" s="1712"/>
      <c r="E40" s="1695" t="s">
        <v>103</v>
      </c>
      <c r="F40" s="1696"/>
      <c r="G40" s="1697"/>
      <c r="H40" s="1698" t="s">
        <v>104</v>
      </c>
      <c r="I40" s="1699"/>
      <c r="J40" s="1699"/>
      <c r="K40" s="1699"/>
      <c r="L40" s="1700"/>
      <c r="M40" s="1538"/>
      <c r="N40" s="1538"/>
    </row>
    <row r="41" spans="1:14" ht="13.5" thickBot="1">
      <c r="A41" s="1710"/>
      <c r="B41" s="1711"/>
      <c r="C41" s="1711"/>
      <c r="D41" s="1712"/>
      <c r="E41" s="1695"/>
      <c r="F41" s="1696"/>
      <c r="G41" s="1697"/>
      <c r="H41" s="1701"/>
      <c r="I41" s="1702"/>
      <c r="J41" s="1702"/>
      <c r="K41" s="1702"/>
      <c r="L41" s="1703"/>
      <c r="M41" s="1538"/>
      <c r="N41" s="1538"/>
    </row>
    <row r="42" spans="1:14">
      <c r="A42" s="1108"/>
      <c r="B42" s="1109"/>
      <c r="C42" s="1110"/>
      <c r="D42" s="1110"/>
      <c r="E42" s="1110"/>
      <c r="F42" s="406"/>
      <c r="G42" s="1110"/>
      <c r="H42" s="1110"/>
      <c r="I42" s="1110"/>
      <c r="J42" s="1110"/>
      <c r="K42" s="1110"/>
      <c r="L42" s="1110"/>
      <c r="M42" s="1110"/>
      <c r="N42" s="1110"/>
    </row>
    <row r="43" spans="1:14">
      <c r="A43" s="1112"/>
      <c r="B43" s="1113"/>
      <c r="C43" s="1111"/>
      <c r="D43" s="1111"/>
      <c r="E43" s="1111"/>
      <c r="F43" s="407"/>
      <c r="G43" s="1111"/>
      <c r="H43" s="1111"/>
      <c r="I43" s="1111"/>
      <c r="J43" s="1111"/>
      <c r="K43" s="1111"/>
      <c r="L43" s="1111"/>
      <c r="M43" s="1111"/>
      <c r="N43" s="1111"/>
    </row>
    <row r="44" spans="1:14">
      <c r="A44" s="1112"/>
      <c r="B44" s="972" t="s">
        <v>105</v>
      </c>
      <c r="C44" s="974"/>
      <c r="D44" s="974"/>
      <c r="E44" s="974"/>
      <c r="F44" s="974" t="s">
        <v>106</v>
      </c>
      <c r="G44" s="974"/>
      <c r="H44" s="974"/>
      <c r="I44" s="974"/>
      <c r="J44" s="974"/>
      <c r="K44" s="974" t="s">
        <v>107</v>
      </c>
      <c r="L44" s="1111"/>
      <c r="M44" s="974" t="s">
        <v>107</v>
      </c>
      <c r="N44" s="1111"/>
    </row>
    <row r="45" spans="1:14" ht="13.5" thickBot="1">
      <c r="A45" s="1114"/>
      <c r="B45" s="1115"/>
      <c r="C45" s="1116"/>
      <c r="D45" s="1116"/>
      <c r="E45" s="1116"/>
      <c r="F45" s="1116"/>
      <c r="G45" s="1116"/>
      <c r="H45" s="1116"/>
      <c r="I45" s="1116"/>
      <c r="J45" s="1116"/>
      <c r="K45" s="1116"/>
      <c r="L45" s="1116"/>
      <c r="M45" s="1116"/>
      <c r="N45" s="1116"/>
    </row>
  </sheetData>
  <mergeCells count="33">
    <mergeCell ref="A2:L2"/>
    <mergeCell ref="A3:L3"/>
    <mergeCell ref="F4:F5"/>
    <mergeCell ref="A7:A12"/>
    <mergeCell ref="B7:B12"/>
    <mergeCell ref="C7:C12"/>
    <mergeCell ref="D7:D12"/>
    <mergeCell ref="E7:E12"/>
    <mergeCell ref="F7:F12"/>
    <mergeCell ref="G7:H7"/>
    <mergeCell ref="I7:J7"/>
    <mergeCell ref="K7:L7"/>
    <mergeCell ref="G10:H10"/>
    <mergeCell ref="I10:J10"/>
    <mergeCell ref="K10:L10"/>
    <mergeCell ref="M7:N7"/>
    <mergeCell ref="G8:H9"/>
    <mergeCell ref="I8:J9"/>
    <mergeCell ref="K8:L9"/>
    <mergeCell ref="M8:N9"/>
    <mergeCell ref="M10:N10"/>
    <mergeCell ref="G11:H11"/>
    <mergeCell ref="I11:J11"/>
    <mergeCell ref="K11:L11"/>
    <mergeCell ref="M11:N11"/>
    <mergeCell ref="E40:G41"/>
    <mergeCell ref="H40:L41"/>
    <mergeCell ref="A17:B17"/>
    <mergeCell ref="A19:B19"/>
    <mergeCell ref="A22:B22"/>
    <mergeCell ref="A26:B26"/>
    <mergeCell ref="A28:B28"/>
    <mergeCell ref="A40:D41"/>
  </mergeCells>
  <pageMargins left="0.25" right="0.25" top="0.75" bottom="0.75" header="0.3" footer="0.3"/>
  <pageSetup scale="50" orientation="landscape"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7"/>
  <sheetViews>
    <sheetView workbookViewId="0">
      <selection activeCell="F7" sqref="F7"/>
    </sheetView>
  </sheetViews>
  <sheetFormatPr defaultRowHeight="15"/>
  <cols>
    <col min="2" max="2" width="29" customWidth="1"/>
    <col min="3" max="3" width="16" customWidth="1"/>
    <col min="4" max="4" width="12.5703125" bestFit="1" customWidth="1"/>
    <col min="5" max="5" width="16" bestFit="1" customWidth="1"/>
    <col min="6" max="6" width="13.5703125" bestFit="1" customWidth="1"/>
    <col min="7" max="7" width="24.42578125" customWidth="1"/>
  </cols>
  <sheetData>
    <row r="4" spans="2:7" ht="15.75" thickBot="1"/>
    <row r="5" spans="2:7" ht="30.75" thickBot="1">
      <c r="B5" s="581" t="s">
        <v>1219</v>
      </c>
      <c r="C5" s="582" t="s">
        <v>1220</v>
      </c>
      <c r="D5" s="582" t="s">
        <v>1211</v>
      </c>
      <c r="E5" s="582" t="s">
        <v>1212</v>
      </c>
      <c r="F5" s="583" t="s">
        <v>1213</v>
      </c>
      <c r="G5" s="584" t="s">
        <v>1214</v>
      </c>
    </row>
    <row r="6" spans="2:7" ht="15.75" thickBot="1">
      <c r="B6" s="585" t="s">
        <v>1215</v>
      </c>
      <c r="C6" s="585">
        <v>4400</v>
      </c>
      <c r="D6" s="585">
        <v>6000000</v>
      </c>
      <c r="E6" s="585" t="s">
        <v>1216</v>
      </c>
      <c r="F6" s="586">
        <f>2800000/4400</f>
        <v>636.36363636363637</v>
      </c>
      <c r="G6" s="585"/>
    </row>
    <row r="7" spans="2:7" ht="15.75" thickBot="1">
      <c r="B7" s="587" t="s">
        <v>1217</v>
      </c>
      <c r="C7" s="582">
        <v>3165</v>
      </c>
      <c r="D7" s="582">
        <v>2125000</v>
      </c>
      <c r="E7" s="582" t="s">
        <v>1218</v>
      </c>
      <c r="F7" s="588">
        <f>1610000/3165</f>
        <v>508.68878357030013</v>
      </c>
      <c r="G7" s="589">
        <f>(636.37*3150)-1610000</f>
        <v>394565.5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topLeftCell="D16" zoomScaleNormal="100" workbookViewId="0">
      <selection activeCell="N21" sqref="N21"/>
    </sheetView>
  </sheetViews>
  <sheetFormatPr defaultRowHeight="12.75"/>
  <cols>
    <col min="1" max="1" width="6.140625" style="9" customWidth="1"/>
    <col min="2" max="2" width="48.85546875" style="209" customWidth="1"/>
    <col min="3" max="3" width="17.7109375" style="9" customWidth="1"/>
    <col min="4" max="4" width="9.85546875" style="209" customWidth="1"/>
    <col min="5" max="5" width="6.140625" style="9" customWidth="1"/>
    <col min="6" max="6" width="8.85546875" style="9" customWidth="1"/>
    <col min="7" max="7" width="15.85546875" style="9" customWidth="1"/>
    <col min="8" max="8" width="14.42578125" style="9" customWidth="1"/>
    <col min="9" max="9" width="19" style="9" customWidth="1"/>
    <col min="10" max="10" width="15.5703125" style="9" customWidth="1"/>
    <col min="11" max="11" width="17.5703125" style="9" customWidth="1"/>
    <col min="12" max="14" width="21" style="9" customWidth="1"/>
    <col min="15" max="15" width="12.42578125" style="9" bestFit="1" customWidth="1"/>
    <col min="16" max="16" width="11.140625" style="9" bestFit="1" customWidth="1"/>
    <col min="17" max="17" width="12.42578125" style="9" hidden="1" customWidth="1"/>
    <col min="18" max="18" width="14.28515625" style="9" hidden="1" customWidth="1"/>
    <col min="19" max="251" width="9.140625" style="9"/>
    <col min="252" max="252" width="4" style="9" customWidth="1"/>
    <col min="253" max="253" width="30.7109375" style="9" customWidth="1"/>
    <col min="254" max="255" width="10" style="9" customWidth="1"/>
    <col min="256" max="256" width="9.85546875" style="9" customWidth="1"/>
    <col min="257" max="257" width="12.42578125" style="9" customWidth="1"/>
    <col min="258" max="263" width="12.7109375" style="9" customWidth="1"/>
    <col min="264" max="264" width="13" style="9" customWidth="1"/>
    <col min="265" max="266" width="12.7109375" style="9" customWidth="1"/>
    <col min="267" max="267" width="9.140625" style="9"/>
    <col min="268" max="268" width="11.140625" style="9" bestFit="1" customWidth="1"/>
    <col min="269" max="507" width="9.140625" style="9"/>
    <col min="508" max="508" width="4" style="9" customWidth="1"/>
    <col min="509" max="509" width="30.7109375" style="9" customWidth="1"/>
    <col min="510" max="511" width="10" style="9" customWidth="1"/>
    <col min="512" max="512" width="9.85546875" style="9" customWidth="1"/>
    <col min="513" max="513" width="12.42578125" style="9" customWidth="1"/>
    <col min="514" max="519" width="12.7109375" style="9" customWidth="1"/>
    <col min="520" max="520" width="13" style="9" customWidth="1"/>
    <col min="521" max="522" width="12.7109375" style="9" customWidth="1"/>
    <col min="523" max="523" width="9.140625" style="9"/>
    <col min="524" max="524" width="11.140625" style="9" bestFit="1" customWidth="1"/>
    <col min="525" max="763" width="9.140625" style="9"/>
    <col min="764" max="764" width="4" style="9" customWidth="1"/>
    <col min="765" max="765" width="30.7109375" style="9" customWidth="1"/>
    <col min="766" max="767" width="10" style="9" customWidth="1"/>
    <col min="768" max="768" width="9.85546875" style="9" customWidth="1"/>
    <col min="769" max="769" width="12.42578125" style="9" customWidth="1"/>
    <col min="770" max="775" width="12.7109375" style="9" customWidth="1"/>
    <col min="776" max="776" width="13" style="9" customWidth="1"/>
    <col min="777" max="778" width="12.7109375" style="9" customWidth="1"/>
    <col min="779" max="779" width="9.140625" style="9"/>
    <col min="780" max="780" width="11.140625" style="9" bestFit="1" customWidth="1"/>
    <col min="781" max="1019" width="9.140625" style="9"/>
    <col min="1020" max="1020" width="4" style="9" customWidth="1"/>
    <col min="1021" max="1021" width="30.7109375" style="9" customWidth="1"/>
    <col min="1022" max="1023" width="10" style="9" customWidth="1"/>
    <col min="1024" max="1024" width="9.85546875" style="9" customWidth="1"/>
    <col min="1025" max="1025" width="12.42578125" style="9" customWidth="1"/>
    <col min="1026" max="1031" width="12.7109375" style="9" customWidth="1"/>
    <col min="1032" max="1032" width="13" style="9" customWidth="1"/>
    <col min="1033" max="1034" width="12.7109375" style="9" customWidth="1"/>
    <col min="1035" max="1035" width="9.140625" style="9"/>
    <col min="1036" max="1036" width="11.140625" style="9" bestFit="1" customWidth="1"/>
    <col min="1037" max="1275" width="9.140625" style="9"/>
    <col min="1276" max="1276" width="4" style="9" customWidth="1"/>
    <col min="1277" max="1277" width="30.7109375" style="9" customWidth="1"/>
    <col min="1278" max="1279" width="10" style="9" customWidth="1"/>
    <col min="1280" max="1280" width="9.85546875" style="9" customWidth="1"/>
    <col min="1281" max="1281" width="12.42578125" style="9" customWidth="1"/>
    <col min="1282" max="1287" width="12.7109375" style="9" customWidth="1"/>
    <col min="1288" max="1288" width="13" style="9" customWidth="1"/>
    <col min="1289" max="1290" width="12.7109375" style="9" customWidth="1"/>
    <col min="1291" max="1291" width="9.140625" style="9"/>
    <col min="1292" max="1292" width="11.140625" style="9" bestFit="1" customWidth="1"/>
    <col min="1293" max="1531" width="9.140625" style="9"/>
    <col min="1532" max="1532" width="4" style="9" customWidth="1"/>
    <col min="1533" max="1533" width="30.7109375" style="9" customWidth="1"/>
    <col min="1534" max="1535" width="10" style="9" customWidth="1"/>
    <col min="1536" max="1536" width="9.85546875" style="9" customWidth="1"/>
    <col min="1537" max="1537" width="12.42578125" style="9" customWidth="1"/>
    <col min="1538" max="1543" width="12.7109375" style="9" customWidth="1"/>
    <col min="1544" max="1544" width="13" style="9" customWidth="1"/>
    <col min="1545" max="1546" width="12.7109375" style="9" customWidth="1"/>
    <col min="1547" max="1547" width="9.140625" style="9"/>
    <col min="1548" max="1548" width="11.140625" style="9" bestFit="1" customWidth="1"/>
    <col min="1549" max="1787" width="9.140625" style="9"/>
    <col min="1788" max="1788" width="4" style="9" customWidth="1"/>
    <col min="1789" max="1789" width="30.7109375" style="9" customWidth="1"/>
    <col min="1790" max="1791" width="10" style="9" customWidth="1"/>
    <col min="1792" max="1792" width="9.85546875" style="9" customWidth="1"/>
    <col min="1793" max="1793" width="12.42578125" style="9" customWidth="1"/>
    <col min="1794" max="1799" width="12.7109375" style="9" customWidth="1"/>
    <col min="1800" max="1800" width="13" style="9" customWidth="1"/>
    <col min="1801" max="1802" width="12.7109375" style="9" customWidth="1"/>
    <col min="1803" max="1803" width="9.140625" style="9"/>
    <col min="1804" max="1804" width="11.140625" style="9" bestFit="1" customWidth="1"/>
    <col min="1805" max="2043" width="9.140625" style="9"/>
    <col min="2044" max="2044" width="4" style="9" customWidth="1"/>
    <col min="2045" max="2045" width="30.7109375" style="9" customWidth="1"/>
    <col min="2046" max="2047" width="10" style="9" customWidth="1"/>
    <col min="2048" max="2048" width="9.85546875" style="9" customWidth="1"/>
    <col min="2049" max="2049" width="12.42578125" style="9" customWidth="1"/>
    <col min="2050" max="2055" width="12.7109375" style="9" customWidth="1"/>
    <col min="2056" max="2056" width="13" style="9" customWidth="1"/>
    <col min="2057" max="2058" width="12.7109375" style="9" customWidth="1"/>
    <col min="2059" max="2059" width="9.140625" style="9"/>
    <col min="2060" max="2060" width="11.140625" style="9" bestFit="1" customWidth="1"/>
    <col min="2061" max="2299" width="9.140625" style="9"/>
    <col min="2300" max="2300" width="4" style="9" customWidth="1"/>
    <col min="2301" max="2301" width="30.7109375" style="9" customWidth="1"/>
    <col min="2302" max="2303" width="10" style="9" customWidth="1"/>
    <col min="2304" max="2304" width="9.85546875" style="9" customWidth="1"/>
    <col min="2305" max="2305" width="12.42578125" style="9" customWidth="1"/>
    <col min="2306" max="2311" width="12.7109375" style="9" customWidth="1"/>
    <col min="2312" max="2312" width="13" style="9" customWidth="1"/>
    <col min="2313" max="2314" width="12.7109375" style="9" customWidth="1"/>
    <col min="2315" max="2315" width="9.140625" style="9"/>
    <col min="2316" max="2316" width="11.140625" style="9" bestFit="1" customWidth="1"/>
    <col min="2317" max="2555" width="9.140625" style="9"/>
    <col min="2556" max="2556" width="4" style="9" customWidth="1"/>
    <col min="2557" max="2557" width="30.7109375" style="9" customWidth="1"/>
    <col min="2558" max="2559" width="10" style="9" customWidth="1"/>
    <col min="2560" max="2560" width="9.85546875" style="9" customWidth="1"/>
    <col min="2561" max="2561" width="12.42578125" style="9" customWidth="1"/>
    <col min="2562" max="2567" width="12.7109375" style="9" customWidth="1"/>
    <col min="2568" max="2568" width="13" style="9" customWidth="1"/>
    <col min="2569" max="2570" width="12.7109375" style="9" customWidth="1"/>
    <col min="2571" max="2571" width="9.140625" style="9"/>
    <col min="2572" max="2572" width="11.140625" style="9" bestFit="1" customWidth="1"/>
    <col min="2573" max="2811" width="9.140625" style="9"/>
    <col min="2812" max="2812" width="4" style="9" customWidth="1"/>
    <col min="2813" max="2813" width="30.7109375" style="9" customWidth="1"/>
    <col min="2814" max="2815" width="10" style="9" customWidth="1"/>
    <col min="2816" max="2816" width="9.85546875" style="9" customWidth="1"/>
    <col min="2817" max="2817" width="12.42578125" style="9" customWidth="1"/>
    <col min="2818" max="2823" width="12.7109375" style="9" customWidth="1"/>
    <col min="2824" max="2824" width="13" style="9" customWidth="1"/>
    <col min="2825" max="2826" width="12.7109375" style="9" customWidth="1"/>
    <col min="2827" max="2827" width="9.140625" style="9"/>
    <col min="2828" max="2828" width="11.140625" style="9" bestFit="1" customWidth="1"/>
    <col min="2829" max="3067" width="9.140625" style="9"/>
    <col min="3068" max="3068" width="4" style="9" customWidth="1"/>
    <col min="3069" max="3069" width="30.7109375" style="9" customWidth="1"/>
    <col min="3070" max="3071" width="10" style="9" customWidth="1"/>
    <col min="3072" max="3072" width="9.85546875" style="9" customWidth="1"/>
    <col min="3073" max="3073" width="12.42578125" style="9" customWidth="1"/>
    <col min="3074" max="3079" width="12.7109375" style="9" customWidth="1"/>
    <col min="3080" max="3080" width="13" style="9" customWidth="1"/>
    <col min="3081" max="3082" width="12.7109375" style="9" customWidth="1"/>
    <col min="3083" max="3083" width="9.140625" style="9"/>
    <col min="3084" max="3084" width="11.140625" style="9" bestFit="1" customWidth="1"/>
    <col min="3085" max="3323" width="9.140625" style="9"/>
    <col min="3324" max="3324" width="4" style="9" customWidth="1"/>
    <col min="3325" max="3325" width="30.7109375" style="9" customWidth="1"/>
    <col min="3326" max="3327" width="10" style="9" customWidth="1"/>
    <col min="3328" max="3328" width="9.85546875" style="9" customWidth="1"/>
    <col min="3329" max="3329" width="12.42578125" style="9" customWidth="1"/>
    <col min="3330" max="3335" width="12.7109375" style="9" customWidth="1"/>
    <col min="3336" max="3336" width="13" style="9" customWidth="1"/>
    <col min="3337" max="3338" width="12.7109375" style="9" customWidth="1"/>
    <col min="3339" max="3339" width="9.140625" style="9"/>
    <col min="3340" max="3340" width="11.140625" style="9" bestFit="1" customWidth="1"/>
    <col min="3341" max="3579" width="9.140625" style="9"/>
    <col min="3580" max="3580" width="4" style="9" customWidth="1"/>
    <col min="3581" max="3581" width="30.7109375" style="9" customWidth="1"/>
    <col min="3582" max="3583" width="10" style="9" customWidth="1"/>
    <col min="3584" max="3584" width="9.85546875" style="9" customWidth="1"/>
    <col min="3585" max="3585" width="12.42578125" style="9" customWidth="1"/>
    <col min="3586" max="3591" width="12.7109375" style="9" customWidth="1"/>
    <col min="3592" max="3592" width="13" style="9" customWidth="1"/>
    <col min="3593" max="3594" width="12.7109375" style="9" customWidth="1"/>
    <col min="3595" max="3595" width="9.140625" style="9"/>
    <col min="3596" max="3596" width="11.140625" style="9" bestFit="1" customWidth="1"/>
    <col min="3597" max="3835" width="9.140625" style="9"/>
    <col min="3836" max="3836" width="4" style="9" customWidth="1"/>
    <col min="3837" max="3837" width="30.7109375" style="9" customWidth="1"/>
    <col min="3838" max="3839" width="10" style="9" customWidth="1"/>
    <col min="3840" max="3840" width="9.85546875" style="9" customWidth="1"/>
    <col min="3841" max="3841" width="12.42578125" style="9" customWidth="1"/>
    <col min="3842" max="3847" width="12.7109375" style="9" customWidth="1"/>
    <col min="3848" max="3848" width="13" style="9" customWidth="1"/>
    <col min="3849" max="3850" width="12.7109375" style="9" customWidth="1"/>
    <col min="3851" max="3851" width="9.140625" style="9"/>
    <col min="3852" max="3852" width="11.140625" style="9" bestFit="1" customWidth="1"/>
    <col min="3853" max="4091" width="9.140625" style="9"/>
    <col min="4092" max="4092" width="4" style="9" customWidth="1"/>
    <col min="4093" max="4093" width="30.7109375" style="9" customWidth="1"/>
    <col min="4094" max="4095" width="10" style="9" customWidth="1"/>
    <col min="4096" max="4096" width="9.85546875" style="9" customWidth="1"/>
    <col min="4097" max="4097" width="12.42578125" style="9" customWidth="1"/>
    <col min="4098" max="4103" width="12.7109375" style="9" customWidth="1"/>
    <col min="4104" max="4104" width="13" style="9" customWidth="1"/>
    <col min="4105" max="4106" width="12.7109375" style="9" customWidth="1"/>
    <col min="4107" max="4107" width="9.140625" style="9"/>
    <col min="4108" max="4108" width="11.140625" style="9" bestFit="1" customWidth="1"/>
    <col min="4109" max="4347" width="9.140625" style="9"/>
    <col min="4348" max="4348" width="4" style="9" customWidth="1"/>
    <col min="4349" max="4349" width="30.7109375" style="9" customWidth="1"/>
    <col min="4350" max="4351" width="10" style="9" customWidth="1"/>
    <col min="4352" max="4352" width="9.85546875" style="9" customWidth="1"/>
    <col min="4353" max="4353" width="12.42578125" style="9" customWidth="1"/>
    <col min="4354" max="4359" width="12.7109375" style="9" customWidth="1"/>
    <col min="4360" max="4360" width="13" style="9" customWidth="1"/>
    <col min="4361" max="4362" width="12.7109375" style="9" customWidth="1"/>
    <col min="4363" max="4363" width="9.140625" style="9"/>
    <col min="4364" max="4364" width="11.140625" style="9" bestFit="1" customWidth="1"/>
    <col min="4365" max="4603" width="9.140625" style="9"/>
    <col min="4604" max="4604" width="4" style="9" customWidth="1"/>
    <col min="4605" max="4605" width="30.7109375" style="9" customWidth="1"/>
    <col min="4606" max="4607" width="10" style="9" customWidth="1"/>
    <col min="4608" max="4608" width="9.85546875" style="9" customWidth="1"/>
    <col min="4609" max="4609" width="12.42578125" style="9" customWidth="1"/>
    <col min="4610" max="4615" width="12.7109375" style="9" customWidth="1"/>
    <col min="4616" max="4616" width="13" style="9" customWidth="1"/>
    <col min="4617" max="4618" width="12.7109375" style="9" customWidth="1"/>
    <col min="4619" max="4619" width="9.140625" style="9"/>
    <col min="4620" max="4620" width="11.140625" style="9" bestFit="1" customWidth="1"/>
    <col min="4621" max="4859" width="9.140625" style="9"/>
    <col min="4860" max="4860" width="4" style="9" customWidth="1"/>
    <col min="4861" max="4861" width="30.7109375" style="9" customWidth="1"/>
    <col min="4862" max="4863" width="10" style="9" customWidth="1"/>
    <col min="4864" max="4864" width="9.85546875" style="9" customWidth="1"/>
    <col min="4865" max="4865" width="12.42578125" style="9" customWidth="1"/>
    <col min="4866" max="4871" width="12.7109375" style="9" customWidth="1"/>
    <col min="4872" max="4872" width="13" style="9" customWidth="1"/>
    <col min="4873" max="4874" width="12.7109375" style="9" customWidth="1"/>
    <col min="4875" max="4875" width="9.140625" style="9"/>
    <col min="4876" max="4876" width="11.140625" style="9" bestFit="1" customWidth="1"/>
    <col min="4877" max="5115" width="9.140625" style="9"/>
    <col min="5116" max="5116" width="4" style="9" customWidth="1"/>
    <col min="5117" max="5117" width="30.7109375" style="9" customWidth="1"/>
    <col min="5118" max="5119" width="10" style="9" customWidth="1"/>
    <col min="5120" max="5120" width="9.85546875" style="9" customWidth="1"/>
    <col min="5121" max="5121" width="12.42578125" style="9" customWidth="1"/>
    <col min="5122" max="5127" width="12.7109375" style="9" customWidth="1"/>
    <col min="5128" max="5128" width="13" style="9" customWidth="1"/>
    <col min="5129" max="5130" width="12.7109375" style="9" customWidth="1"/>
    <col min="5131" max="5131" width="9.140625" style="9"/>
    <col min="5132" max="5132" width="11.140625" style="9" bestFit="1" customWidth="1"/>
    <col min="5133" max="5371" width="9.140625" style="9"/>
    <col min="5372" max="5372" width="4" style="9" customWidth="1"/>
    <col min="5373" max="5373" width="30.7109375" style="9" customWidth="1"/>
    <col min="5374" max="5375" width="10" style="9" customWidth="1"/>
    <col min="5376" max="5376" width="9.85546875" style="9" customWidth="1"/>
    <col min="5377" max="5377" width="12.42578125" style="9" customWidth="1"/>
    <col min="5378" max="5383" width="12.7109375" style="9" customWidth="1"/>
    <col min="5384" max="5384" width="13" style="9" customWidth="1"/>
    <col min="5385" max="5386" width="12.7109375" style="9" customWidth="1"/>
    <col min="5387" max="5387" width="9.140625" style="9"/>
    <col min="5388" max="5388" width="11.140625" style="9" bestFit="1" customWidth="1"/>
    <col min="5389" max="5627" width="9.140625" style="9"/>
    <col min="5628" max="5628" width="4" style="9" customWidth="1"/>
    <col min="5629" max="5629" width="30.7109375" style="9" customWidth="1"/>
    <col min="5630" max="5631" width="10" style="9" customWidth="1"/>
    <col min="5632" max="5632" width="9.85546875" style="9" customWidth="1"/>
    <col min="5633" max="5633" width="12.42578125" style="9" customWidth="1"/>
    <col min="5634" max="5639" width="12.7109375" style="9" customWidth="1"/>
    <col min="5640" max="5640" width="13" style="9" customWidth="1"/>
    <col min="5641" max="5642" width="12.7109375" style="9" customWidth="1"/>
    <col min="5643" max="5643" width="9.140625" style="9"/>
    <col min="5644" max="5644" width="11.140625" style="9" bestFit="1" customWidth="1"/>
    <col min="5645" max="5883" width="9.140625" style="9"/>
    <col min="5884" max="5884" width="4" style="9" customWidth="1"/>
    <col min="5885" max="5885" width="30.7109375" style="9" customWidth="1"/>
    <col min="5886" max="5887" width="10" style="9" customWidth="1"/>
    <col min="5888" max="5888" width="9.85546875" style="9" customWidth="1"/>
    <col min="5889" max="5889" width="12.42578125" style="9" customWidth="1"/>
    <col min="5890" max="5895" width="12.7109375" style="9" customWidth="1"/>
    <col min="5896" max="5896" width="13" style="9" customWidth="1"/>
    <col min="5897" max="5898" width="12.7109375" style="9" customWidth="1"/>
    <col min="5899" max="5899" width="9.140625" style="9"/>
    <col min="5900" max="5900" width="11.140625" style="9" bestFit="1" customWidth="1"/>
    <col min="5901" max="6139" width="9.140625" style="9"/>
    <col min="6140" max="6140" width="4" style="9" customWidth="1"/>
    <col min="6141" max="6141" width="30.7109375" style="9" customWidth="1"/>
    <col min="6142" max="6143" width="10" style="9" customWidth="1"/>
    <col min="6144" max="6144" width="9.85546875" style="9" customWidth="1"/>
    <col min="6145" max="6145" width="12.42578125" style="9" customWidth="1"/>
    <col min="6146" max="6151" width="12.7109375" style="9" customWidth="1"/>
    <col min="6152" max="6152" width="13" style="9" customWidth="1"/>
    <col min="6153" max="6154" width="12.7109375" style="9" customWidth="1"/>
    <col min="6155" max="6155" width="9.140625" style="9"/>
    <col min="6156" max="6156" width="11.140625" style="9" bestFit="1" customWidth="1"/>
    <col min="6157" max="6395" width="9.140625" style="9"/>
    <col min="6396" max="6396" width="4" style="9" customWidth="1"/>
    <col min="6397" max="6397" width="30.7109375" style="9" customWidth="1"/>
    <col min="6398" max="6399" width="10" style="9" customWidth="1"/>
    <col min="6400" max="6400" width="9.85546875" style="9" customWidth="1"/>
    <col min="6401" max="6401" width="12.42578125" style="9" customWidth="1"/>
    <col min="6402" max="6407" width="12.7109375" style="9" customWidth="1"/>
    <col min="6408" max="6408" width="13" style="9" customWidth="1"/>
    <col min="6409" max="6410" width="12.7109375" style="9" customWidth="1"/>
    <col min="6411" max="6411" width="9.140625" style="9"/>
    <col min="6412" max="6412" width="11.140625" style="9" bestFit="1" customWidth="1"/>
    <col min="6413" max="6651" width="9.140625" style="9"/>
    <col min="6652" max="6652" width="4" style="9" customWidth="1"/>
    <col min="6653" max="6653" width="30.7109375" style="9" customWidth="1"/>
    <col min="6654" max="6655" width="10" style="9" customWidth="1"/>
    <col min="6656" max="6656" width="9.85546875" style="9" customWidth="1"/>
    <col min="6657" max="6657" width="12.42578125" style="9" customWidth="1"/>
    <col min="6658" max="6663" width="12.7109375" style="9" customWidth="1"/>
    <col min="6664" max="6664" width="13" style="9" customWidth="1"/>
    <col min="6665" max="6666" width="12.7109375" style="9" customWidth="1"/>
    <col min="6667" max="6667" width="9.140625" style="9"/>
    <col min="6668" max="6668" width="11.140625" style="9" bestFit="1" customWidth="1"/>
    <col min="6669" max="6907" width="9.140625" style="9"/>
    <col min="6908" max="6908" width="4" style="9" customWidth="1"/>
    <col min="6909" max="6909" width="30.7109375" style="9" customWidth="1"/>
    <col min="6910" max="6911" width="10" style="9" customWidth="1"/>
    <col min="6912" max="6912" width="9.85546875" style="9" customWidth="1"/>
    <col min="6913" max="6913" width="12.42578125" style="9" customWidth="1"/>
    <col min="6914" max="6919" width="12.7109375" style="9" customWidth="1"/>
    <col min="6920" max="6920" width="13" style="9" customWidth="1"/>
    <col min="6921" max="6922" width="12.7109375" style="9" customWidth="1"/>
    <col min="6923" max="6923" width="9.140625" style="9"/>
    <col min="6924" max="6924" width="11.140625" style="9" bestFit="1" customWidth="1"/>
    <col min="6925" max="7163" width="9.140625" style="9"/>
    <col min="7164" max="7164" width="4" style="9" customWidth="1"/>
    <col min="7165" max="7165" width="30.7109375" style="9" customWidth="1"/>
    <col min="7166" max="7167" width="10" style="9" customWidth="1"/>
    <col min="7168" max="7168" width="9.85546875" style="9" customWidth="1"/>
    <col min="7169" max="7169" width="12.42578125" style="9" customWidth="1"/>
    <col min="7170" max="7175" width="12.7109375" style="9" customWidth="1"/>
    <col min="7176" max="7176" width="13" style="9" customWidth="1"/>
    <col min="7177" max="7178" width="12.7109375" style="9" customWidth="1"/>
    <col min="7179" max="7179" width="9.140625" style="9"/>
    <col min="7180" max="7180" width="11.140625" style="9" bestFit="1" customWidth="1"/>
    <col min="7181" max="7419" width="9.140625" style="9"/>
    <col min="7420" max="7420" width="4" style="9" customWidth="1"/>
    <col min="7421" max="7421" width="30.7109375" style="9" customWidth="1"/>
    <col min="7422" max="7423" width="10" style="9" customWidth="1"/>
    <col min="7424" max="7424" width="9.85546875" style="9" customWidth="1"/>
    <col min="7425" max="7425" width="12.42578125" style="9" customWidth="1"/>
    <col min="7426" max="7431" width="12.7109375" style="9" customWidth="1"/>
    <col min="7432" max="7432" width="13" style="9" customWidth="1"/>
    <col min="7433" max="7434" width="12.7109375" style="9" customWidth="1"/>
    <col min="7435" max="7435" width="9.140625" style="9"/>
    <col min="7436" max="7436" width="11.140625" style="9" bestFit="1" customWidth="1"/>
    <col min="7437" max="7675" width="9.140625" style="9"/>
    <col min="7676" max="7676" width="4" style="9" customWidth="1"/>
    <col min="7677" max="7677" width="30.7109375" style="9" customWidth="1"/>
    <col min="7678" max="7679" width="10" style="9" customWidth="1"/>
    <col min="7680" max="7680" width="9.85546875" style="9" customWidth="1"/>
    <col min="7681" max="7681" width="12.42578125" style="9" customWidth="1"/>
    <col min="7682" max="7687" width="12.7109375" style="9" customWidth="1"/>
    <col min="7688" max="7688" width="13" style="9" customWidth="1"/>
    <col min="7689" max="7690" width="12.7109375" style="9" customWidth="1"/>
    <col min="7691" max="7691" width="9.140625" style="9"/>
    <col min="7692" max="7692" width="11.140625" style="9" bestFit="1" customWidth="1"/>
    <col min="7693" max="7931" width="9.140625" style="9"/>
    <col min="7932" max="7932" width="4" style="9" customWidth="1"/>
    <col min="7933" max="7933" width="30.7109375" style="9" customWidth="1"/>
    <col min="7934" max="7935" width="10" style="9" customWidth="1"/>
    <col min="7936" max="7936" width="9.85546875" style="9" customWidth="1"/>
    <col min="7937" max="7937" width="12.42578125" style="9" customWidth="1"/>
    <col min="7938" max="7943" width="12.7109375" style="9" customWidth="1"/>
    <col min="7944" max="7944" width="13" style="9" customWidth="1"/>
    <col min="7945" max="7946" width="12.7109375" style="9" customWidth="1"/>
    <col min="7947" max="7947" width="9.140625" style="9"/>
    <col min="7948" max="7948" width="11.140625" style="9" bestFit="1" customWidth="1"/>
    <col min="7949" max="8187" width="9.140625" style="9"/>
    <col min="8188" max="8188" width="4" style="9" customWidth="1"/>
    <col min="8189" max="8189" width="30.7109375" style="9" customWidth="1"/>
    <col min="8190" max="8191" width="10" style="9" customWidth="1"/>
    <col min="8192" max="8192" width="9.85546875" style="9" customWidth="1"/>
    <col min="8193" max="8193" width="12.42578125" style="9" customWidth="1"/>
    <col min="8194" max="8199" width="12.7109375" style="9" customWidth="1"/>
    <col min="8200" max="8200" width="13" style="9" customWidth="1"/>
    <col min="8201" max="8202" width="12.7109375" style="9" customWidth="1"/>
    <col min="8203" max="8203" width="9.140625" style="9"/>
    <col min="8204" max="8204" width="11.140625" style="9" bestFit="1" customWidth="1"/>
    <col min="8205" max="8443" width="9.140625" style="9"/>
    <col min="8444" max="8444" width="4" style="9" customWidth="1"/>
    <col min="8445" max="8445" width="30.7109375" style="9" customWidth="1"/>
    <col min="8446" max="8447" width="10" style="9" customWidth="1"/>
    <col min="8448" max="8448" width="9.85546875" style="9" customWidth="1"/>
    <col min="8449" max="8449" width="12.42578125" style="9" customWidth="1"/>
    <col min="8450" max="8455" width="12.7109375" style="9" customWidth="1"/>
    <col min="8456" max="8456" width="13" style="9" customWidth="1"/>
    <col min="8457" max="8458" width="12.7109375" style="9" customWidth="1"/>
    <col min="8459" max="8459" width="9.140625" style="9"/>
    <col min="8460" max="8460" width="11.140625" style="9" bestFit="1" customWidth="1"/>
    <col min="8461" max="8699" width="9.140625" style="9"/>
    <col min="8700" max="8700" width="4" style="9" customWidth="1"/>
    <col min="8701" max="8701" width="30.7109375" style="9" customWidth="1"/>
    <col min="8702" max="8703" width="10" style="9" customWidth="1"/>
    <col min="8704" max="8704" width="9.85546875" style="9" customWidth="1"/>
    <col min="8705" max="8705" width="12.42578125" style="9" customWidth="1"/>
    <col min="8706" max="8711" width="12.7109375" style="9" customWidth="1"/>
    <col min="8712" max="8712" width="13" style="9" customWidth="1"/>
    <col min="8713" max="8714" width="12.7109375" style="9" customWidth="1"/>
    <col min="8715" max="8715" width="9.140625" style="9"/>
    <col min="8716" max="8716" width="11.140625" style="9" bestFit="1" customWidth="1"/>
    <col min="8717" max="8955" width="9.140625" style="9"/>
    <col min="8956" max="8956" width="4" style="9" customWidth="1"/>
    <col min="8957" max="8957" width="30.7109375" style="9" customWidth="1"/>
    <col min="8958" max="8959" width="10" style="9" customWidth="1"/>
    <col min="8960" max="8960" width="9.85546875" style="9" customWidth="1"/>
    <col min="8961" max="8961" width="12.42578125" style="9" customWidth="1"/>
    <col min="8962" max="8967" width="12.7109375" style="9" customWidth="1"/>
    <col min="8968" max="8968" width="13" style="9" customWidth="1"/>
    <col min="8969" max="8970" width="12.7109375" style="9" customWidth="1"/>
    <col min="8971" max="8971" width="9.140625" style="9"/>
    <col min="8972" max="8972" width="11.140625" style="9" bestFit="1" customWidth="1"/>
    <col min="8973" max="9211" width="9.140625" style="9"/>
    <col min="9212" max="9212" width="4" style="9" customWidth="1"/>
    <col min="9213" max="9213" width="30.7109375" style="9" customWidth="1"/>
    <col min="9214" max="9215" width="10" style="9" customWidth="1"/>
    <col min="9216" max="9216" width="9.85546875" style="9" customWidth="1"/>
    <col min="9217" max="9217" width="12.42578125" style="9" customWidth="1"/>
    <col min="9218" max="9223" width="12.7109375" style="9" customWidth="1"/>
    <col min="9224" max="9224" width="13" style="9" customWidth="1"/>
    <col min="9225" max="9226" width="12.7109375" style="9" customWidth="1"/>
    <col min="9227" max="9227" width="9.140625" style="9"/>
    <col min="9228" max="9228" width="11.140625" style="9" bestFit="1" customWidth="1"/>
    <col min="9229" max="9467" width="9.140625" style="9"/>
    <col min="9468" max="9468" width="4" style="9" customWidth="1"/>
    <col min="9469" max="9469" width="30.7109375" style="9" customWidth="1"/>
    <col min="9470" max="9471" width="10" style="9" customWidth="1"/>
    <col min="9472" max="9472" width="9.85546875" style="9" customWidth="1"/>
    <col min="9473" max="9473" width="12.42578125" style="9" customWidth="1"/>
    <col min="9474" max="9479" width="12.7109375" style="9" customWidth="1"/>
    <col min="9480" max="9480" width="13" style="9" customWidth="1"/>
    <col min="9481" max="9482" width="12.7109375" style="9" customWidth="1"/>
    <col min="9483" max="9483" width="9.140625" style="9"/>
    <col min="9484" max="9484" width="11.140625" style="9" bestFit="1" customWidth="1"/>
    <col min="9485" max="9723" width="9.140625" style="9"/>
    <col min="9724" max="9724" width="4" style="9" customWidth="1"/>
    <col min="9725" max="9725" width="30.7109375" style="9" customWidth="1"/>
    <col min="9726" max="9727" width="10" style="9" customWidth="1"/>
    <col min="9728" max="9728" width="9.85546875" style="9" customWidth="1"/>
    <col min="9729" max="9729" width="12.42578125" style="9" customWidth="1"/>
    <col min="9730" max="9735" width="12.7109375" style="9" customWidth="1"/>
    <col min="9736" max="9736" width="13" style="9" customWidth="1"/>
    <col min="9737" max="9738" width="12.7109375" style="9" customWidth="1"/>
    <col min="9739" max="9739" width="9.140625" style="9"/>
    <col min="9740" max="9740" width="11.140625" style="9" bestFit="1" customWidth="1"/>
    <col min="9741" max="9979" width="9.140625" style="9"/>
    <col min="9980" max="9980" width="4" style="9" customWidth="1"/>
    <col min="9981" max="9981" width="30.7109375" style="9" customWidth="1"/>
    <col min="9982" max="9983" width="10" style="9" customWidth="1"/>
    <col min="9984" max="9984" width="9.85546875" style="9" customWidth="1"/>
    <col min="9985" max="9985" width="12.42578125" style="9" customWidth="1"/>
    <col min="9986" max="9991" width="12.7109375" style="9" customWidth="1"/>
    <col min="9992" max="9992" width="13" style="9" customWidth="1"/>
    <col min="9993" max="9994" width="12.7109375" style="9" customWidth="1"/>
    <col min="9995" max="9995" width="9.140625" style="9"/>
    <col min="9996" max="9996" width="11.140625" style="9" bestFit="1" customWidth="1"/>
    <col min="9997" max="10235" width="9.140625" style="9"/>
    <col min="10236" max="10236" width="4" style="9" customWidth="1"/>
    <col min="10237" max="10237" width="30.7109375" style="9" customWidth="1"/>
    <col min="10238" max="10239" width="10" style="9" customWidth="1"/>
    <col min="10240" max="10240" width="9.85546875" style="9" customWidth="1"/>
    <col min="10241" max="10241" width="12.42578125" style="9" customWidth="1"/>
    <col min="10242" max="10247" width="12.7109375" style="9" customWidth="1"/>
    <col min="10248" max="10248" width="13" style="9" customWidth="1"/>
    <col min="10249" max="10250" width="12.7109375" style="9" customWidth="1"/>
    <col min="10251" max="10251" width="9.140625" style="9"/>
    <col min="10252" max="10252" width="11.140625" style="9" bestFit="1" customWidth="1"/>
    <col min="10253" max="10491" width="9.140625" style="9"/>
    <col min="10492" max="10492" width="4" style="9" customWidth="1"/>
    <col min="10493" max="10493" width="30.7109375" style="9" customWidth="1"/>
    <col min="10494" max="10495" width="10" style="9" customWidth="1"/>
    <col min="10496" max="10496" width="9.85546875" style="9" customWidth="1"/>
    <col min="10497" max="10497" width="12.42578125" style="9" customWidth="1"/>
    <col min="10498" max="10503" width="12.7109375" style="9" customWidth="1"/>
    <col min="10504" max="10504" width="13" style="9" customWidth="1"/>
    <col min="10505" max="10506" width="12.7109375" style="9" customWidth="1"/>
    <col min="10507" max="10507" width="9.140625" style="9"/>
    <col min="10508" max="10508" width="11.140625" style="9" bestFit="1" customWidth="1"/>
    <col min="10509" max="10747" width="9.140625" style="9"/>
    <col min="10748" max="10748" width="4" style="9" customWidth="1"/>
    <col min="10749" max="10749" width="30.7109375" style="9" customWidth="1"/>
    <col min="10750" max="10751" width="10" style="9" customWidth="1"/>
    <col min="10752" max="10752" width="9.85546875" style="9" customWidth="1"/>
    <col min="10753" max="10753" width="12.42578125" style="9" customWidth="1"/>
    <col min="10754" max="10759" width="12.7109375" style="9" customWidth="1"/>
    <col min="10760" max="10760" width="13" style="9" customWidth="1"/>
    <col min="10761" max="10762" width="12.7109375" style="9" customWidth="1"/>
    <col min="10763" max="10763" width="9.140625" style="9"/>
    <col min="10764" max="10764" width="11.140625" style="9" bestFit="1" customWidth="1"/>
    <col min="10765" max="11003" width="9.140625" style="9"/>
    <col min="11004" max="11004" width="4" style="9" customWidth="1"/>
    <col min="11005" max="11005" width="30.7109375" style="9" customWidth="1"/>
    <col min="11006" max="11007" width="10" style="9" customWidth="1"/>
    <col min="11008" max="11008" width="9.85546875" style="9" customWidth="1"/>
    <col min="11009" max="11009" width="12.42578125" style="9" customWidth="1"/>
    <col min="11010" max="11015" width="12.7109375" style="9" customWidth="1"/>
    <col min="11016" max="11016" width="13" style="9" customWidth="1"/>
    <col min="11017" max="11018" width="12.7109375" style="9" customWidth="1"/>
    <col min="11019" max="11019" width="9.140625" style="9"/>
    <col min="11020" max="11020" width="11.140625" style="9" bestFit="1" customWidth="1"/>
    <col min="11021" max="11259" width="9.140625" style="9"/>
    <col min="11260" max="11260" width="4" style="9" customWidth="1"/>
    <col min="11261" max="11261" width="30.7109375" style="9" customWidth="1"/>
    <col min="11262" max="11263" width="10" style="9" customWidth="1"/>
    <col min="11264" max="11264" width="9.85546875" style="9" customWidth="1"/>
    <col min="11265" max="11265" width="12.42578125" style="9" customWidth="1"/>
    <col min="11266" max="11271" width="12.7109375" style="9" customWidth="1"/>
    <col min="11272" max="11272" width="13" style="9" customWidth="1"/>
    <col min="11273" max="11274" width="12.7109375" style="9" customWidth="1"/>
    <col min="11275" max="11275" width="9.140625" style="9"/>
    <col min="11276" max="11276" width="11.140625" style="9" bestFit="1" customWidth="1"/>
    <col min="11277" max="11515" width="9.140625" style="9"/>
    <col min="11516" max="11516" width="4" style="9" customWidth="1"/>
    <col min="11517" max="11517" width="30.7109375" style="9" customWidth="1"/>
    <col min="11518" max="11519" width="10" style="9" customWidth="1"/>
    <col min="11520" max="11520" width="9.85546875" style="9" customWidth="1"/>
    <col min="11521" max="11521" width="12.42578125" style="9" customWidth="1"/>
    <col min="11522" max="11527" width="12.7109375" style="9" customWidth="1"/>
    <col min="11528" max="11528" width="13" style="9" customWidth="1"/>
    <col min="11529" max="11530" width="12.7109375" style="9" customWidth="1"/>
    <col min="11531" max="11531" width="9.140625" style="9"/>
    <col min="11532" max="11532" width="11.140625" style="9" bestFit="1" customWidth="1"/>
    <col min="11533" max="11771" width="9.140625" style="9"/>
    <col min="11772" max="11772" width="4" style="9" customWidth="1"/>
    <col min="11773" max="11773" width="30.7109375" style="9" customWidth="1"/>
    <col min="11774" max="11775" width="10" style="9" customWidth="1"/>
    <col min="11776" max="11776" width="9.85546875" style="9" customWidth="1"/>
    <col min="11777" max="11777" width="12.42578125" style="9" customWidth="1"/>
    <col min="11778" max="11783" width="12.7109375" style="9" customWidth="1"/>
    <col min="11784" max="11784" width="13" style="9" customWidth="1"/>
    <col min="11785" max="11786" width="12.7109375" style="9" customWidth="1"/>
    <col min="11787" max="11787" width="9.140625" style="9"/>
    <col min="11788" max="11788" width="11.140625" style="9" bestFit="1" customWidth="1"/>
    <col min="11789" max="12027" width="9.140625" style="9"/>
    <col min="12028" max="12028" width="4" style="9" customWidth="1"/>
    <col min="12029" max="12029" width="30.7109375" style="9" customWidth="1"/>
    <col min="12030" max="12031" width="10" style="9" customWidth="1"/>
    <col min="12032" max="12032" width="9.85546875" style="9" customWidth="1"/>
    <col min="12033" max="12033" width="12.42578125" style="9" customWidth="1"/>
    <col min="12034" max="12039" width="12.7109375" style="9" customWidth="1"/>
    <col min="12040" max="12040" width="13" style="9" customWidth="1"/>
    <col min="12041" max="12042" width="12.7109375" style="9" customWidth="1"/>
    <col min="12043" max="12043" width="9.140625" style="9"/>
    <col min="12044" max="12044" width="11.140625" style="9" bestFit="1" customWidth="1"/>
    <col min="12045" max="12283" width="9.140625" style="9"/>
    <col min="12284" max="12284" width="4" style="9" customWidth="1"/>
    <col min="12285" max="12285" width="30.7109375" style="9" customWidth="1"/>
    <col min="12286" max="12287" width="10" style="9" customWidth="1"/>
    <col min="12288" max="12288" width="9.85546875" style="9" customWidth="1"/>
    <col min="12289" max="12289" width="12.42578125" style="9" customWidth="1"/>
    <col min="12290" max="12295" width="12.7109375" style="9" customWidth="1"/>
    <col min="12296" max="12296" width="13" style="9" customWidth="1"/>
    <col min="12297" max="12298" width="12.7109375" style="9" customWidth="1"/>
    <col min="12299" max="12299" width="9.140625" style="9"/>
    <col min="12300" max="12300" width="11.140625" style="9" bestFit="1" customWidth="1"/>
    <col min="12301" max="12539" width="9.140625" style="9"/>
    <col min="12540" max="12540" width="4" style="9" customWidth="1"/>
    <col min="12541" max="12541" width="30.7109375" style="9" customWidth="1"/>
    <col min="12542" max="12543" width="10" style="9" customWidth="1"/>
    <col min="12544" max="12544" width="9.85546875" style="9" customWidth="1"/>
    <col min="12545" max="12545" width="12.42578125" style="9" customWidth="1"/>
    <col min="12546" max="12551" width="12.7109375" style="9" customWidth="1"/>
    <col min="12552" max="12552" width="13" style="9" customWidth="1"/>
    <col min="12553" max="12554" width="12.7109375" style="9" customWidth="1"/>
    <col min="12555" max="12555" width="9.140625" style="9"/>
    <col min="12556" max="12556" width="11.140625" style="9" bestFit="1" customWidth="1"/>
    <col min="12557" max="12795" width="9.140625" style="9"/>
    <col min="12796" max="12796" width="4" style="9" customWidth="1"/>
    <col min="12797" max="12797" width="30.7109375" style="9" customWidth="1"/>
    <col min="12798" max="12799" width="10" style="9" customWidth="1"/>
    <col min="12800" max="12800" width="9.85546875" style="9" customWidth="1"/>
    <col min="12801" max="12801" width="12.42578125" style="9" customWidth="1"/>
    <col min="12802" max="12807" width="12.7109375" style="9" customWidth="1"/>
    <col min="12808" max="12808" width="13" style="9" customWidth="1"/>
    <col min="12809" max="12810" width="12.7109375" style="9" customWidth="1"/>
    <col min="12811" max="12811" width="9.140625" style="9"/>
    <col min="12812" max="12812" width="11.140625" style="9" bestFit="1" customWidth="1"/>
    <col min="12813" max="13051" width="9.140625" style="9"/>
    <col min="13052" max="13052" width="4" style="9" customWidth="1"/>
    <col min="13053" max="13053" width="30.7109375" style="9" customWidth="1"/>
    <col min="13054" max="13055" width="10" style="9" customWidth="1"/>
    <col min="13056" max="13056" width="9.85546875" style="9" customWidth="1"/>
    <col min="13057" max="13057" width="12.42578125" style="9" customWidth="1"/>
    <col min="13058" max="13063" width="12.7109375" style="9" customWidth="1"/>
    <col min="13064" max="13064" width="13" style="9" customWidth="1"/>
    <col min="13065" max="13066" width="12.7109375" style="9" customWidth="1"/>
    <col min="13067" max="13067" width="9.140625" style="9"/>
    <col min="13068" max="13068" width="11.140625" style="9" bestFit="1" customWidth="1"/>
    <col min="13069" max="13307" width="9.140625" style="9"/>
    <col min="13308" max="13308" width="4" style="9" customWidth="1"/>
    <col min="13309" max="13309" width="30.7109375" style="9" customWidth="1"/>
    <col min="13310" max="13311" width="10" style="9" customWidth="1"/>
    <col min="13312" max="13312" width="9.85546875" style="9" customWidth="1"/>
    <col min="13313" max="13313" width="12.42578125" style="9" customWidth="1"/>
    <col min="13314" max="13319" width="12.7109375" style="9" customWidth="1"/>
    <col min="13320" max="13320" width="13" style="9" customWidth="1"/>
    <col min="13321" max="13322" width="12.7109375" style="9" customWidth="1"/>
    <col min="13323" max="13323" width="9.140625" style="9"/>
    <col min="13324" max="13324" width="11.140625" style="9" bestFit="1" customWidth="1"/>
    <col min="13325" max="13563" width="9.140625" style="9"/>
    <col min="13564" max="13564" width="4" style="9" customWidth="1"/>
    <col min="13565" max="13565" width="30.7109375" style="9" customWidth="1"/>
    <col min="13566" max="13567" width="10" style="9" customWidth="1"/>
    <col min="13568" max="13568" width="9.85546875" style="9" customWidth="1"/>
    <col min="13569" max="13569" width="12.42578125" style="9" customWidth="1"/>
    <col min="13570" max="13575" width="12.7109375" style="9" customWidth="1"/>
    <col min="13576" max="13576" width="13" style="9" customWidth="1"/>
    <col min="13577" max="13578" width="12.7109375" style="9" customWidth="1"/>
    <col min="13579" max="13579" width="9.140625" style="9"/>
    <col min="13580" max="13580" width="11.140625" style="9" bestFit="1" customWidth="1"/>
    <col min="13581" max="13819" width="9.140625" style="9"/>
    <col min="13820" max="13820" width="4" style="9" customWidth="1"/>
    <col min="13821" max="13821" width="30.7109375" style="9" customWidth="1"/>
    <col min="13822" max="13823" width="10" style="9" customWidth="1"/>
    <col min="13824" max="13824" width="9.85546875" style="9" customWidth="1"/>
    <col min="13825" max="13825" width="12.42578125" style="9" customWidth="1"/>
    <col min="13826" max="13831" width="12.7109375" style="9" customWidth="1"/>
    <col min="13832" max="13832" width="13" style="9" customWidth="1"/>
    <col min="13833" max="13834" width="12.7109375" style="9" customWidth="1"/>
    <col min="13835" max="13835" width="9.140625" style="9"/>
    <col min="13836" max="13836" width="11.140625" style="9" bestFit="1" customWidth="1"/>
    <col min="13837" max="14075" width="9.140625" style="9"/>
    <col min="14076" max="14076" width="4" style="9" customWidth="1"/>
    <col min="14077" max="14077" width="30.7109375" style="9" customWidth="1"/>
    <col min="14078" max="14079" width="10" style="9" customWidth="1"/>
    <col min="14080" max="14080" width="9.85546875" style="9" customWidth="1"/>
    <col min="14081" max="14081" width="12.42578125" style="9" customWidth="1"/>
    <col min="14082" max="14087" width="12.7109375" style="9" customWidth="1"/>
    <col min="14088" max="14088" width="13" style="9" customWidth="1"/>
    <col min="14089" max="14090" width="12.7109375" style="9" customWidth="1"/>
    <col min="14091" max="14091" width="9.140625" style="9"/>
    <col min="14092" max="14092" width="11.140625" style="9" bestFit="1" customWidth="1"/>
    <col min="14093" max="14331" width="9.140625" style="9"/>
    <col min="14332" max="14332" width="4" style="9" customWidth="1"/>
    <col min="14333" max="14333" width="30.7109375" style="9" customWidth="1"/>
    <col min="14334" max="14335" width="10" style="9" customWidth="1"/>
    <col min="14336" max="14336" width="9.85546875" style="9" customWidth="1"/>
    <col min="14337" max="14337" width="12.42578125" style="9" customWidth="1"/>
    <col min="14338" max="14343" width="12.7109375" style="9" customWidth="1"/>
    <col min="14344" max="14344" width="13" style="9" customWidth="1"/>
    <col min="14345" max="14346" width="12.7109375" style="9" customWidth="1"/>
    <col min="14347" max="14347" width="9.140625" style="9"/>
    <col min="14348" max="14348" width="11.140625" style="9" bestFit="1" customWidth="1"/>
    <col min="14349" max="14587" width="9.140625" style="9"/>
    <col min="14588" max="14588" width="4" style="9" customWidth="1"/>
    <col min="14589" max="14589" width="30.7109375" style="9" customWidth="1"/>
    <col min="14590" max="14591" width="10" style="9" customWidth="1"/>
    <col min="14592" max="14592" width="9.85546875" style="9" customWidth="1"/>
    <col min="14593" max="14593" width="12.42578125" style="9" customWidth="1"/>
    <col min="14594" max="14599" width="12.7109375" style="9" customWidth="1"/>
    <col min="14600" max="14600" width="13" style="9" customWidth="1"/>
    <col min="14601" max="14602" width="12.7109375" style="9" customWidth="1"/>
    <col min="14603" max="14603" width="9.140625" style="9"/>
    <col min="14604" max="14604" width="11.140625" style="9" bestFit="1" customWidth="1"/>
    <col min="14605" max="14843" width="9.140625" style="9"/>
    <col min="14844" max="14844" width="4" style="9" customWidth="1"/>
    <col min="14845" max="14845" width="30.7109375" style="9" customWidth="1"/>
    <col min="14846" max="14847" width="10" style="9" customWidth="1"/>
    <col min="14848" max="14848" width="9.85546875" style="9" customWidth="1"/>
    <col min="14849" max="14849" width="12.42578125" style="9" customWidth="1"/>
    <col min="14850" max="14855" width="12.7109375" style="9" customWidth="1"/>
    <col min="14856" max="14856" width="13" style="9" customWidth="1"/>
    <col min="14857" max="14858" width="12.7109375" style="9" customWidth="1"/>
    <col min="14859" max="14859" width="9.140625" style="9"/>
    <col min="14860" max="14860" width="11.140625" style="9" bestFit="1" customWidth="1"/>
    <col min="14861" max="15099" width="9.140625" style="9"/>
    <col min="15100" max="15100" width="4" style="9" customWidth="1"/>
    <col min="15101" max="15101" width="30.7109375" style="9" customWidth="1"/>
    <col min="15102" max="15103" width="10" style="9" customWidth="1"/>
    <col min="15104" max="15104" width="9.85546875" style="9" customWidth="1"/>
    <col min="15105" max="15105" width="12.42578125" style="9" customWidth="1"/>
    <col min="15106" max="15111" width="12.7109375" style="9" customWidth="1"/>
    <col min="15112" max="15112" width="13" style="9" customWidth="1"/>
    <col min="15113" max="15114" width="12.7109375" style="9" customWidth="1"/>
    <col min="15115" max="15115" width="9.140625" style="9"/>
    <col min="15116" max="15116" width="11.140625" style="9" bestFit="1" customWidth="1"/>
    <col min="15117" max="15355" width="9.140625" style="9"/>
    <col min="15356" max="15356" width="4" style="9" customWidth="1"/>
    <col min="15357" max="15357" width="30.7109375" style="9" customWidth="1"/>
    <col min="15358" max="15359" width="10" style="9" customWidth="1"/>
    <col min="15360" max="15360" width="9.85546875" style="9" customWidth="1"/>
    <col min="15361" max="15361" width="12.42578125" style="9" customWidth="1"/>
    <col min="15362" max="15367" width="12.7109375" style="9" customWidth="1"/>
    <col min="15368" max="15368" width="13" style="9" customWidth="1"/>
    <col min="15369" max="15370" width="12.7109375" style="9" customWidth="1"/>
    <col min="15371" max="15371" width="9.140625" style="9"/>
    <col min="15372" max="15372" width="11.140625" style="9" bestFit="1" customWidth="1"/>
    <col min="15373" max="15611" width="9.140625" style="9"/>
    <col min="15612" max="15612" width="4" style="9" customWidth="1"/>
    <col min="15613" max="15613" width="30.7109375" style="9" customWidth="1"/>
    <col min="15614" max="15615" width="10" style="9" customWidth="1"/>
    <col min="15616" max="15616" width="9.85546875" style="9" customWidth="1"/>
    <col min="15617" max="15617" width="12.42578125" style="9" customWidth="1"/>
    <col min="15618" max="15623" width="12.7109375" style="9" customWidth="1"/>
    <col min="15624" max="15624" width="13" style="9" customWidth="1"/>
    <col min="15625" max="15626" width="12.7109375" style="9" customWidth="1"/>
    <col min="15627" max="15627" width="9.140625" style="9"/>
    <col min="15628" max="15628" width="11.140625" style="9" bestFit="1" customWidth="1"/>
    <col min="15629" max="15867" width="9.140625" style="9"/>
    <col min="15868" max="15868" width="4" style="9" customWidth="1"/>
    <col min="15869" max="15869" width="30.7109375" style="9" customWidth="1"/>
    <col min="15870" max="15871" width="10" style="9" customWidth="1"/>
    <col min="15872" max="15872" width="9.85546875" style="9" customWidth="1"/>
    <col min="15873" max="15873" width="12.42578125" style="9" customWidth="1"/>
    <col min="15874" max="15879" width="12.7109375" style="9" customWidth="1"/>
    <col min="15880" max="15880" width="13" style="9" customWidth="1"/>
    <col min="15881" max="15882" width="12.7109375" style="9" customWidth="1"/>
    <col min="15883" max="15883" width="9.140625" style="9"/>
    <col min="15884" max="15884" width="11.140625" style="9" bestFit="1" customWidth="1"/>
    <col min="15885" max="16123" width="9.140625" style="9"/>
    <col min="16124" max="16124" width="4" style="9" customWidth="1"/>
    <col min="16125" max="16125" width="30.7109375" style="9" customWidth="1"/>
    <col min="16126" max="16127" width="10" style="9" customWidth="1"/>
    <col min="16128" max="16128" width="9.85546875" style="9" customWidth="1"/>
    <col min="16129" max="16129" width="12.42578125" style="9" customWidth="1"/>
    <col min="16130" max="16135" width="12.7109375" style="9" customWidth="1"/>
    <col min="16136" max="16136" width="13" style="9" customWidth="1"/>
    <col min="16137" max="16138" width="12.7109375" style="9" customWidth="1"/>
    <col min="16139" max="16139" width="9.140625" style="9"/>
    <col min="16140" max="16140" width="11.140625" style="9" bestFit="1" customWidth="1"/>
    <col min="16141" max="16384" width="9.140625" style="9"/>
  </cols>
  <sheetData>
    <row r="1" spans="1:18" s="7" customFormat="1" ht="13.5" thickBot="1">
      <c r="A1" s="7" t="s">
        <v>15</v>
      </c>
      <c r="B1" s="8"/>
      <c r="D1" s="8"/>
      <c r="G1" s="7" t="s">
        <v>1286</v>
      </c>
    </row>
    <row r="2" spans="1:18" ht="23.25" thickBot="1">
      <c r="A2" s="1875" t="s">
        <v>16</v>
      </c>
      <c r="B2" s="1876"/>
      <c r="C2" s="1876"/>
      <c r="D2" s="1876"/>
      <c r="E2" s="1876"/>
      <c r="F2" s="1876"/>
      <c r="G2" s="1876"/>
      <c r="H2" s="1876"/>
      <c r="I2" s="1876"/>
      <c r="J2" s="1876"/>
      <c r="K2" s="1876"/>
      <c r="L2" s="1876"/>
      <c r="M2" s="613"/>
      <c r="N2" s="614"/>
    </row>
    <row r="3" spans="1:18" ht="16.5" thickBot="1">
      <c r="A3" s="1877" t="s">
        <v>17</v>
      </c>
      <c r="B3" s="1878"/>
      <c r="C3" s="1878"/>
      <c r="D3" s="1878"/>
      <c r="E3" s="1878"/>
      <c r="F3" s="1878"/>
      <c r="G3" s="1878"/>
      <c r="H3" s="1878"/>
      <c r="I3" s="1878"/>
      <c r="J3" s="1878"/>
      <c r="K3" s="1878"/>
      <c r="L3" s="1878"/>
      <c r="M3" s="615"/>
      <c r="N3" s="616"/>
    </row>
    <row r="4" spans="1:18" ht="25.5">
      <c r="A4" s="10" t="s">
        <v>18</v>
      </c>
      <c r="B4" s="11"/>
      <c r="C4" s="12" t="s">
        <v>19</v>
      </c>
      <c r="D4" s="12"/>
      <c r="E4" s="13"/>
      <c r="F4" s="1879" t="s">
        <v>20</v>
      </c>
      <c r="G4" s="1881"/>
      <c r="H4" s="1882"/>
      <c r="I4" s="14" t="s">
        <v>21</v>
      </c>
      <c r="J4" s="354"/>
      <c r="K4" s="16"/>
      <c r="L4" s="17"/>
      <c r="M4" s="604"/>
      <c r="N4" s="604"/>
    </row>
    <row r="5" spans="1:18" ht="13.5" thickBot="1">
      <c r="A5" s="19" t="s">
        <v>26</v>
      </c>
      <c r="B5" s="20"/>
      <c r="C5" s="21" t="s">
        <v>27</v>
      </c>
      <c r="D5" s="21"/>
      <c r="E5" s="22"/>
      <c r="F5" s="1880"/>
      <c r="G5" s="1883"/>
      <c r="H5" s="1884"/>
      <c r="I5" s="23" t="s">
        <v>28</v>
      </c>
      <c r="J5" s="354"/>
      <c r="K5" s="24"/>
      <c r="L5" s="25"/>
      <c r="M5" s="25"/>
      <c r="N5" s="25"/>
      <c r="O5" s="25" t="s">
        <v>18</v>
      </c>
      <c r="P5" s="25" t="s">
        <v>31</v>
      </c>
    </row>
    <row r="6" spans="1:18" ht="13.5" thickBot="1">
      <c r="A6" s="26"/>
      <c r="B6" s="27"/>
      <c r="E6" s="28"/>
      <c r="F6" s="355"/>
      <c r="G6" s="30"/>
      <c r="H6" s="28"/>
      <c r="I6" s="31"/>
      <c r="J6" s="28"/>
      <c r="K6" s="31"/>
      <c r="L6" s="28"/>
      <c r="M6" s="28"/>
      <c r="N6" s="28"/>
    </row>
    <row r="7" spans="1:18" ht="31.5" customHeight="1" thickBot="1">
      <c r="A7" s="1946" t="s">
        <v>32</v>
      </c>
      <c r="B7" s="1888" t="s">
        <v>33</v>
      </c>
      <c r="C7" s="1890" t="s">
        <v>34</v>
      </c>
      <c r="D7" s="605"/>
      <c r="E7" s="1892" t="s">
        <v>35</v>
      </c>
      <c r="F7" s="1741" t="s">
        <v>36</v>
      </c>
      <c r="G7" s="1872" t="s">
        <v>180</v>
      </c>
      <c r="H7" s="1955"/>
      <c r="I7" s="1873" t="s">
        <v>1287</v>
      </c>
      <c r="J7" s="2003"/>
      <c r="K7" s="1998" t="s">
        <v>1288</v>
      </c>
      <c r="L7" s="1979"/>
      <c r="M7" s="1998" t="s">
        <v>1289</v>
      </c>
      <c r="N7" s="1979"/>
    </row>
    <row r="8" spans="1:18" ht="19.5" customHeight="1">
      <c r="A8" s="1947"/>
      <c r="B8" s="1889"/>
      <c r="C8" s="1891"/>
      <c r="D8" s="606"/>
      <c r="E8" s="1893"/>
      <c r="F8" s="1742"/>
      <c r="G8" s="1874" t="s">
        <v>1290</v>
      </c>
      <c r="H8" s="1874"/>
      <c r="I8" s="607"/>
      <c r="J8" s="607"/>
      <c r="K8" s="1999" t="s">
        <v>1291</v>
      </c>
      <c r="L8" s="1987"/>
      <c r="M8" s="1999" t="s">
        <v>1292</v>
      </c>
      <c r="N8" s="1987"/>
    </row>
    <row r="9" spans="1:18" ht="21.75" customHeight="1" thickBot="1">
      <c r="A9" s="1947"/>
      <c r="B9" s="1889"/>
      <c r="C9" s="1891"/>
      <c r="D9" s="606"/>
      <c r="E9" s="1893"/>
      <c r="F9" s="1742"/>
      <c r="G9" s="1874"/>
      <c r="H9" s="1874"/>
      <c r="I9" s="2001" t="s">
        <v>1293</v>
      </c>
      <c r="J9" s="1988"/>
      <c r="K9" s="2000"/>
      <c r="L9" s="1989"/>
      <c r="M9" s="2000"/>
      <c r="N9" s="1989"/>
      <c r="O9" s="408"/>
    </row>
    <row r="10" spans="1:18" ht="39" customHeight="1" thickBot="1">
      <c r="A10" s="1947"/>
      <c r="B10" s="1889"/>
      <c r="C10" s="1891"/>
      <c r="D10" s="606"/>
      <c r="E10" s="1893"/>
      <c r="F10" s="1742"/>
      <c r="G10" s="1978" t="s">
        <v>1294</v>
      </c>
      <c r="H10" s="1979"/>
      <c r="I10" s="1996" t="s">
        <v>1295</v>
      </c>
      <c r="J10" s="1997"/>
      <c r="K10" s="1978" t="s">
        <v>1296</v>
      </c>
      <c r="L10" s="1979"/>
      <c r="M10" s="1978" t="s">
        <v>1297</v>
      </c>
      <c r="N10" s="1979"/>
      <c r="Q10" s="1995" t="s">
        <v>372</v>
      </c>
      <c r="R10" s="1995"/>
    </row>
    <row r="11" spans="1:18" ht="13.5" thickBot="1">
      <c r="A11" s="1947"/>
      <c r="B11" s="1889"/>
      <c r="C11" s="1891"/>
      <c r="D11" s="606"/>
      <c r="E11" s="1893"/>
      <c r="F11" s="1742"/>
      <c r="G11" s="1871" t="s">
        <v>46</v>
      </c>
      <c r="H11" s="1871"/>
      <c r="I11" s="1870" t="s">
        <v>46</v>
      </c>
      <c r="J11" s="1871"/>
      <c r="K11" s="1870" t="s">
        <v>46</v>
      </c>
      <c r="L11" s="1871"/>
      <c r="M11" s="1870" t="s">
        <v>46</v>
      </c>
      <c r="N11" s="1871"/>
      <c r="O11" s="219"/>
      <c r="Q11" s="266"/>
      <c r="R11" s="266"/>
    </row>
    <row r="12" spans="1:18" ht="13.5" thickBot="1">
      <c r="A12" s="2002"/>
      <c r="B12" s="1889"/>
      <c r="C12" s="1891"/>
      <c r="D12" s="606"/>
      <c r="E12" s="1893"/>
      <c r="F12" s="1837"/>
      <c r="G12" s="617" t="s">
        <v>47</v>
      </c>
      <c r="H12" s="618" t="s">
        <v>48</v>
      </c>
      <c r="I12" s="448" t="s">
        <v>47</v>
      </c>
      <c r="J12" s="449" t="s">
        <v>48</v>
      </c>
      <c r="K12" s="448" t="s">
        <v>47</v>
      </c>
      <c r="L12" s="449" t="s">
        <v>48</v>
      </c>
      <c r="M12" s="448" t="s">
        <v>47</v>
      </c>
      <c r="N12" s="449" t="s">
        <v>48</v>
      </c>
      <c r="Q12" s="266"/>
      <c r="R12" s="266"/>
    </row>
    <row r="13" spans="1:18" ht="15.75">
      <c r="A13" s="619"/>
      <c r="B13" s="620"/>
      <c r="C13" s="621"/>
      <c r="D13" s="622"/>
      <c r="E13" s="623"/>
      <c r="F13" s="46"/>
      <c r="G13" s="624">
        <f>140000/151278</f>
        <v>0.92544851201099965</v>
      </c>
      <c r="H13" s="625"/>
      <c r="I13" s="42"/>
      <c r="J13" s="44"/>
      <c r="K13" s="42"/>
      <c r="L13" s="44"/>
      <c r="M13" s="42"/>
      <c r="N13" s="44"/>
      <c r="Q13" s="266"/>
      <c r="R13" s="266"/>
    </row>
    <row r="14" spans="1:18" ht="60">
      <c r="A14" s="626">
        <v>6</v>
      </c>
      <c r="B14" s="627" t="s">
        <v>1298</v>
      </c>
      <c r="C14" s="628">
        <v>90</v>
      </c>
      <c r="D14" s="629"/>
      <c r="E14" s="630" t="s">
        <v>192</v>
      </c>
      <c r="F14" s="631">
        <v>350</v>
      </c>
      <c r="G14" s="632">
        <v>130</v>
      </c>
      <c r="H14" s="633">
        <f t="shared" ref="H14:H19" si="0">G14*0.926</f>
        <v>120.38000000000001</v>
      </c>
      <c r="I14" s="634">
        <v>110</v>
      </c>
      <c r="J14" s="635">
        <f t="shared" ref="J14:J19" si="1">I14</f>
        <v>110</v>
      </c>
      <c r="K14" s="636">
        <v>125</v>
      </c>
      <c r="L14" s="637">
        <f t="shared" ref="L14:L19" si="2">K14*0.98</f>
        <v>122.5</v>
      </c>
      <c r="M14" s="636">
        <v>90</v>
      </c>
      <c r="N14" s="637">
        <f t="shared" ref="N14:N19" si="3">M14</f>
        <v>90</v>
      </c>
      <c r="O14" s="638" t="s">
        <v>1299</v>
      </c>
      <c r="P14" s="639" t="s">
        <v>202</v>
      </c>
      <c r="Q14" s="266"/>
      <c r="R14" s="266"/>
    </row>
    <row r="15" spans="1:18" ht="60">
      <c r="A15" s="626">
        <v>7</v>
      </c>
      <c r="B15" s="627" t="s">
        <v>1300</v>
      </c>
      <c r="C15" s="628">
        <v>1150</v>
      </c>
      <c r="D15" s="629"/>
      <c r="E15" s="630" t="s">
        <v>192</v>
      </c>
      <c r="F15" s="631">
        <v>26</v>
      </c>
      <c r="G15" s="632">
        <v>700</v>
      </c>
      <c r="H15" s="633">
        <f t="shared" si="0"/>
        <v>648.20000000000005</v>
      </c>
      <c r="I15" s="634">
        <v>1200</v>
      </c>
      <c r="J15" s="635">
        <f t="shared" si="1"/>
        <v>1200</v>
      </c>
      <c r="K15" s="636">
        <v>670</v>
      </c>
      <c r="L15" s="637">
        <f t="shared" si="2"/>
        <v>656.6</v>
      </c>
      <c r="M15" s="636">
        <v>540</v>
      </c>
      <c r="N15" s="637">
        <f t="shared" si="3"/>
        <v>540</v>
      </c>
      <c r="O15" s="638" t="s">
        <v>1299</v>
      </c>
      <c r="P15" s="639" t="s">
        <v>204</v>
      </c>
      <c r="Q15" s="266"/>
      <c r="R15" s="266"/>
    </row>
    <row r="16" spans="1:18" ht="60">
      <c r="A16" s="626">
        <v>8</v>
      </c>
      <c r="B16" s="627" t="s">
        <v>1301</v>
      </c>
      <c r="C16" s="628">
        <v>597.79999999999995</v>
      </c>
      <c r="D16" s="629"/>
      <c r="E16" s="630" t="s">
        <v>192</v>
      </c>
      <c r="F16" s="631">
        <v>34</v>
      </c>
      <c r="G16" s="632">
        <v>525</v>
      </c>
      <c r="H16" s="633">
        <f t="shared" si="0"/>
        <v>486.15000000000003</v>
      </c>
      <c r="I16" s="634">
        <v>900</v>
      </c>
      <c r="J16" s="635">
        <f t="shared" si="1"/>
        <v>900</v>
      </c>
      <c r="K16" s="636">
        <v>450</v>
      </c>
      <c r="L16" s="637">
        <f t="shared" si="2"/>
        <v>441</v>
      </c>
      <c r="M16" s="636">
        <v>360</v>
      </c>
      <c r="N16" s="637">
        <f t="shared" si="3"/>
        <v>360</v>
      </c>
      <c r="O16" s="638" t="s">
        <v>1299</v>
      </c>
      <c r="P16" s="639" t="s">
        <v>206</v>
      </c>
      <c r="Q16" s="266"/>
      <c r="R16" s="266"/>
    </row>
    <row r="17" spans="1:18" ht="60">
      <c r="A17" s="626">
        <v>9</v>
      </c>
      <c r="B17" s="627" t="s">
        <v>1302</v>
      </c>
      <c r="C17" s="628">
        <v>220</v>
      </c>
      <c r="D17" s="629"/>
      <c r="E17" s="630" t="s">
        <v>192</v>
      </c>
      <c r="F17" s="631">
        <v>88</v>
      </c>
      <c r="G17" s="632">
        <v>220</v>
      </c>
      <c r="H17" s="633">
        <f t="shared" si="0"/>
        <v>203.72</v>
      </c>
      <c r="I17" s="634">
        <v>330</v>
      </c>
      <c r="J17" s="635">
        <f t="shared" si="1"/>
        <v>330</v>
      </c>
      <c r="K17" s="636">
        <v>190</v>
      </c>
      <c r="L17" s="637">
        <f t="shared" si="2"/>
        <v>186.2</v>
      </c>
      <c r="M17" s="636">
        <v>155</v>
      </c>
      <c r="N17" s="637">
        <f t="shared" si="3"/>
        <v>155</v>
      </c>
      <c r="O17" s="638" t="s">
        <v>1299</v>
      </c>
      <c r="P17" s="639" t="s">
        <v>209</v>
      </c>
      <c r="Q17" s="266"/>
      <c r="R17" s="266"/>
    </row>
    <row r="18" spans="1:18" ht="60">
      <c r="A18" s="626">
        <v>10</v>
      </c>
      <c r="B18" s="627" t="s">
        <v>1303</v>
      </c>
      <c r="C18" s="628">
        <v>1050</v>
      </c>
      <c r="D18" s="629"/>
      <c r="E18" s="630" t="s">
        <v>192</v>
      </c>
      <c r="F18" s="631">
        <v>20</v>
      </c>
      <c r="G18" s="632">
        <v>1150</v>
      </c>
      <c r="H18" s="633">
        <f t="shared" si="0"/>
        <v>1064.9000000000001</v>
      </c>
      <c r="I18" s="634">
        <v>1050</v>
      </c>
      <c r="J18" s="635">
        <f t="shared" si="1"/>
        <v>1050</v>
      </c>
      <c r="K18" s="636">
        <v>760</v>
      </c>
      <c r="L18" s="637">
        <f t="shared" si="2"/>
        <v>744.8</v>
      </c>
      <c r="M18" s="636">
        <v>720</v>
      </c>
      <c r="N18" s="637">
        <f t="shared" si="3"/>
        <v>720</v>
      </c>
      <c r="O18" s="638" t="s">
        <v>1299</v>
      </c>
      <c r="P18" s="639" t="s">
        <v>214</v>
      </c>
      <c r="Q18" s="266"/>
      <c r="R18" s="266"/>
    </row>
    <row r="19" spans="1:18" ht="75.75" thickBot="1">
      <c r="A19" s="626">
        <v>11</v>
      </c>
      <c r="B19" s="640" t="s">
        <v>1304</v>
      </c>
      <c r="C19" s="641">
        <v>75</v>
      </c>
      <c r="D19" s="642"/>
      <c r="E19" s="643" t="s">
        <v>192</v>
      </c>
      <c r="F19" s="644">
        <v>10</v>
      </c>
      <c r="G19" s="632">
        <v>100</v>
      </c>
      <c r="H19" s="633">
        <f t="shared" si="0"/>
        <v>92.600000000000009</v>
      </c>
      <c r="I19" s="634">
        <v>84</v>
      </c>
      <c r="J19" s="635">
        <f t="shared" si="1"/>
        <v>84</v>
      </c>
      <c r="K19" s="636">
        <v>70</v>
      </c>
      <c r="L19" s="637">
        <f t="shared" si="2"/>
        <v>68.599999999999994</v>
      </c>
      <c r="M19" s="636">
        <v>75</v>
      </c>
      <c r="N19" s="637">
        <f t="shared" si="3"/>
        <v>75</v>
      </c>
      <c r="O19" s="638" t="s">
        <v>1299</v>
      </c>
      <c r="P19" s="639" t="s">
        <v>216</v>
      </c>
      <c r="Q19" s="266"/>
      <c r="R19" s="266"/>
    </row>
    <row r="20" spans="1:18" ht="13.5" thickBot="1">
      <c r="A20" s="645"/>
      <c r="B20" s="646"/>
      <c r="C20" s="647"/>
      <c r="D20" s="647"/>
      <c r="E20" s="648"/>
      <c r="F20" s="645"/>
      <c r="G20" s="247"/>
      <c r="H20" s="83"/>
      <c r="I20" s="77"/>
      <c r="J20" s="83"/>
      <c r="K20" s="649"/>
      <c r="L20" s="650"/>
      <c r="M20" s="649"/>
      <c r="N20" s="650"/>
      <c r="O20" s="87"/>
      <c r="P20" s="89"/>
      <c r="R20" s="9" t="e">
        <f>SUM(#REF!)</f>
        <v>#REF!</v>
      </c>
    </row>
    <row r="21" spans="1:18" s="7" customFormat="1" ht="13.5" thickBot="1">
      <c r="A21" s="90" t="s">
        <v>58</v>
      </c>
      <c r="B21" s="91"/>
      <c r="C21" s="373">
        <f>SUMPRODUCT(C13:C20, $F$13:$F$20)</f>
        <v>122835.2</v>
      </c>
      <c r="D21" s="371"/>
      <c r="E21" s="93"/>
      <c r="F21" s="372">
        <f ca="1">SUM(F14:F55)</f>
        <v>681</v>
      </c>
      <c r="G21" s="373">
        <f t="shared" ref="G21:N21" si="4">SUMPRODUCT(G13:G20, $F$13:$F$20)</f>
        <v>124910</v>
      </c>
      <c r="H21" s="373">
        <f t="shared" si="4"/>
        <v>115666.66</v>
      </c>
      <c r="I21" s="373">
        <f t="shared" si="4"/>
        <v>151180</v>
      </c>
      <c r="J21" s="373">
        <f t="shared" si="4"/>
        <v>151180</v>
      </c>
      <c r="K21" s="373">
        <f t="shared" si="4"/>
        <v>109090</v>
      </c>
      <c r="L21" s="373">
        <f t="shared" si="4"/>
        <v>106908.20000000001</v>
      </c>
      <c r="M21" s="373">
        <f t="shared" si="4"/>
        <v>86570</v>
      </c>
      <c r="N21" s="373">
        <f t="shared" si="4"/>
        <v>86570</v>
      </c>
      <c r="O21" s="432"/>
      <c r="P21" s="374"/>
      <c r="Q21" s="373"/>
    </row>
    <row r="22" spans="1:18">
      <c r="A22" s="1860" t="s">
        <v>59</v>
      </c>
      <c r="B22" s="1861"/>
      <c r="C22" s="97"/>
      <c r="D22" s="375"/>
      <c r="E22" s="97"/>
      <c r="F22" s="376"/>
      <c r="G22" s="377"/>
      <c r="H22" s="378"/>
      <c r="I22" s="379"/>
      <c r="J22" s="377"/>
      <c r="K22" s="379"/>
      <c r="L22" s="377"/>
      <c r="M22" s="379"/>
      <c r="N22" s="377"/>
      <c r="O22" s="651"/>
    </row>
    <row r="23" spans="1:18">
      <c r="A23" s="609" t="s">
        <v>60</v>
      </c>
      <c r="B23" s="610"/>
      <c r="C23" s="97"/>
      <c r="D23" s="375"/>
      <c r="E23" s="97"/>
      <c r="F23" s="376"/>
      <c r="G23" s="380"/>
      <c r="H23" s="381" t="s">
        <v>61</v>
      </c>
      <c r="I23" s="382"/>
      <c r="J23" s="380" t="s">
        <v>61</v>
      </c>
      <c r="K23" s="382"/>
      <c r="L23" s="380" t="s">
        <v>61</v>
      </c>
      <c r="M23" s="382"/>
      <c r="N23" s="380" t="s">
        <v>61</v>
      </c>
      <c r="O23" s="651">
        <f>C21-N21</f>
        <v>36265.199999999997</v>
      </c>
    </row>
    <row r="24" spans="1:18">
      <c r="A24" s="1862" t="s">
        <v>62</v>
      </c>
      <c r="B24" s="1863"/>
      <c r="C24" s="97"/>
      <c r="D24" s="375"/>
      <c r="E24" s="97"/>
      <c r="F24" s="376"/>
      <c r="G24" s="380"/>
      <c r="H24" s="381"/>
      <c r="I24" s="382"/>
      <c r="J24" s="380"/>
      <c r="K24" s="382"/>
      <c r="L24" s="380"/>
      <c r="M24" s="382"/>
      <c r="N24" s="380"/>
    </row>
    <row r="25" spans="1:18" ht="12.95" customHeight="1">
      <c r="A25" s="107" t="s">
        <v>63</v>
      </c>
      <c r="B25" s="108"/>
      <c r="C25" s="108"/>
      <c r="D25" s="383"/>
      <c r="E25" s="108"/>
      <c r="F25" s="109"/>
      <c r="G25" s="110">
        <v>0</v>
      </c>
      <c r="H25" s="110">
        <v>0</v>
      </c>
      <c r="I25" s="110"/>
      <c r="J25" s="110"/>
      <c r="K25" s="110"/>
      <c r="L25" s="110"/>
      <c r="M25" s="110"/>
      <c r="N25" s="110"/>
    </row>
    <row r="26" spans="1:18" ht="12.95" customHeight="1">
      <c r="A26" s="107"/>
      <c r="B26" s="108" t="s">
        <v>64</v>
      </c>
      <c r="C26" s="111"/>
      <c r="D26" s="383"/>
      <c r="E26" s="111"/>
      <c r="F26" s="112"/>
      <c r="G26" s="384">
        <f>(G21+G22+G23+G24)*G25</f>
        <v>0</v>
      </c>
      <c r="H26" s="385">
        <f>(H21+H22+H24)*H25</f>
        <v>0</v>
      </c>
      <c r="I26" s="386">
        <f>(I21+I22+I23+I24)*I25</f>
        <v>0</v>
      </c>
      <c r="J26" s="384">
        <f>(J21+J22+J24)*J25</f>
        <v>0</v>
      </c>
      <c r="K26" s="386">
        <f>(K21+K22+K23+K24)*K25</f>
        <v>0</v>
      </c>
      <c r="L26" s="384">
        <f>(L21+L22+L24)*L25</f>
        <v>0</v>
      </c>
      <c r="M26" s="386">
        <f>(M21+M22+M23+M24)*M25</f>
        <v>0</v>
      </c>
      <c r="N26" s="384">
        <f>(N21+N22+N24)*N25</f>
        <v>0</v>
      </c>
      <c r="O26" s="651"/>
    </row>
    <row r="27" spans="1:18">
      <c r="A27" s="1862" t="s">
        <v>65</v>
      </c>
      <c r="B27" s="1863"/>
      <c r="C27" s="111"/>
      <c r="D27" s="383"/>
      <c r="E27" s="116"/>
      <c r="F27" s="117"/>
      <c r="G27" s="387">
        <v>0.05</v>
      </c>
      <c r="H27" s="387">
        <v>0.05</v>
      </c>
      <c r="I27" s="387">
        <v>0.05</v>
      </c>
      <c r="J27" s="387">
        <v>0.05</v>
      </c>
      <c r="K27" s="387">
        <v>0.05</v>
      </c>
      <c r="L27" s="387">
        <v>0.05</v>
      </c>
      <c r="M27" s="387"/>
      <c r="N27" s="387"/>
    </row>
    <row r="28" spans="1:18" ht="12.95" customHeight="1">
      <c r="A28" s="609"/>
      <c r="B28" s="610" t="s">
        <v>66</v>
      </c>
      <c r="C28" s="111"/>
      <c r="D28" s="383"/>
      <c r="E28" s="116"/>
      <c r="F28" s="117"/>
      <c r="G28" s="384">
        <f>(G26+G22+G23+G24+G21)*G27</f>
        <v>6245.5</v>
      </c>
      <c r="H28" s="385">
        <f>(H26+H22+H24+H21)*H27</f>
        <v>5783.3330000000005</v>
      </c>
      <c r="I28" s="386">
        <f>(I26+I22+I23+I24+I21)*I27</f>
        <v>7559</v>
      </c>
      <c r="J28" s="384">
        <f>(J26+J22+J24+J21)*J27</f>
        <v>7559</v>
      </c>
      <c r="K28" s="386">
        <f>(K26+K22+K23+K24+K21)*K27</f>
        <v>5454.5</v>
      </c>
      <c r="L28" s="384">
        <f>(L26+L22+L24+L21)*L27</f>
        <v>5345.4100000000008</v>
      </c>
      <c r="M28" s="386">
        <f>(M26+M22+M23+M24+M21)*M27</f>
        <v>0</v>
      </c>
      <c r="N28" s="384">
        <f>(N26+N22+N24+N21)*N27</f>
        <v>0</v>
      </c>
    </row>
    <row r="29" spans="1:18" ht="12.95" customHeight="1">
      <c r="A29" s="609" t="s">
        <v>67</v>
      </c>
      <c r="B29" s="610"/>
      <c r="C29" s="111"/>
      <c r="D29" s="383"/>
      <c r="E29" s="116"/>
      <c r="F29" s="117"/>
      <c r="G29" s="387"/>
      <c r="H29" s="387"/>
      <c r="I29" s="387"/>
      <c r="J29" s="387"/>
      <c r="K29" s="387"/>
      <c r="L29" s="387"/>
      <c r="M29" s="387">
        <v>0.02</v>
      </c>
      <c r="N29" s="387">
        <v>0.02</v>
      </c>
    </row>
    <row r="30" spans="1:18" ht="12.95" customHeight="1">
      <c r="A30" s="609"/>
      <c r="B30" s="610" t="s">
        <v>68</v>
      </c>
      <c r="C30" s="111"/>
      <c r="D30" s="383"/>
      <c r="E30" s="116"/>
      <c r="F30" s="117"/>
      <c r="G30" s="384">
        <f>(G26+G22+G23+G24+G21)*G29</f>
        <v>0</v>
      </c>
      <c r="H30" s="385">
        <f>(H26+H22+H24+H21)*H29</f>
        <v>0</v>
      </c>
      <c r="I30" s="386">
        <f>(I26+I22+I23+I24+I21)*I29</f>
        <v>0</v>
      </c>
      <c r="J30" s="384">
        <f>(J26+J22+J24+J21)*J29</f>
        <v>0</v>
      </c>
      <c r="K30" s="386">
        <f>(K26+K22+K23+K24+K21)*K29</f>
        <v>0</v>
      </c>
      <c r="L30" s="384">
        <f>(L26+L22+L24+L21)*L29</f>
        <v>0</v>
      </c>
      <c r="M30" s="386">
        <f>(M26+M22+M23+M24+M21)*M29</f>
        <v>1731.4</v>
      </c>
      <c r="N30" s="384">
        <f>(N26+N22+N24+N21)*N29</f>
        <v>1731.4</v>
      </c>
    </row>
    <row r="31" spans="1:18" ht="12.95" customHeight="1">
      <c r="A31" s="1862" t="s">
        <v>69</v>
      </c>
      <c r="B31" s="1863"/>
      <c r="C31" s="111"/>
      <c r="D31" s="383"/>
      <c r="E31" s="120"/>
      <c r="F31" s="117"/>
      <c r="G31" s="387"/>
      <c r="H31" s="388"/>
      <c r="I31" s="389"/>
      <c r="J31" s="387"/>
      <c r="K31" s="389"/>
      <c r="L31" s="387"/>
      <c r="M31" s="389"/>
      <c r="N31" s="387"/>
    </row>
    <row r="32" spans="1:18" ht="12.95" customHeight="1">
      <c r="A32" s="611"/>
      <c r="B32" s="612" t="s">
        <v>70</v>
      </c>
      <c r="C32" s="124"/>
      <c r="D32" s="390"/>
      <c r="E32" s="125"/>
      <c r="F32" s="126"/>
      <c r="G32" s="384">
        <f t="shared" ref="G32:N32" si="5">G21*G31</f>
        <v>0</v>
      </c>
      <c r="H32" s="385">
        <f t="shared" si="5"/>
        <v>0</v>
      </c>
      <c r="I32" s="386">
        <f t="shared" si="5"/>
        <v>0</v>
      </c>
      <c r="J32" s="384">
        <f t="shared" si="5"/>
        <v>0</v>
      </c>
      <c r="K32" s="386">
        <f t="shared" si="5"/>
        <v>0</v>
      </c>
      <c r="L32" s="384">
        <f t="shared" si="5"/>
        <v>0</v>
      </c>
      <c r="M32" s="386">
        <f t="shared" si="5"/>
        <v>0</v>
      </c>
      <c r="N32" s="384">
        <f t="shared" si="5"/>
        <v>0</v>
      </c>
    </row>
    <row r="33" spans="1:14" ht="13.5" thickBot="1">
      <c r="A33" s="1864"/>
      <c r="B33" s="1865"/>
      <c r="C33" s="124"/>
      <c r="D33" s="390"/>
      <c r="E33" s="124"/>
      <c r="F33" s="391"/>
      <c r="G33" s="392"/>
      <c r="H33" s="393"/>
      <c r="I33" s="394"/>
      <c r="J33" s="392"/>
      <c r="K33" s="394"/>
      <c r="L33" s="392"/>
      <c r="M33" s="394"/>
      <c r="N33" s="392"/>
    </row>
    <row r="34" spans="1:14" ht="13.5" thickBot="1">
      <c r="A34" s="131" t="s">
        <v>71</v>
      </c>
      <c r="B34" s="132"/>
      <c r="C34" s="132"/>
      <c r="D34" s="395"/>
      <c r="E34" s="132"/>
      <c r="F34" s="133"/>
      <c r="G34" s="134">
        <f>SUM(G21:G33)</f>
        <v>131155.54999999999</v>
      </c>
      <c r="H34" s="135">
        <f>SUM(H21:H33)</f>
        <v>121450.04300000001</v>
      </c>
      <c r="I34" s="134">
        <f>SUM(I21,I22,I24,I26,I28)</f>
        <v>158739</v>
      </c>
      <c r="J34" s="135">
        <f>SUM(J21:J33)</f>
        <v>158739.04999999999</v>
      </c>
      <c r="K34" s="134">
        <f>SUM(K21,K22,K24,K26,K28)</f>
        <v>114544.5</v>
      </c>
      <c r="L34" s="135">
        <f>SUM(L21:L33)</f>
        <v>112253.66000000002</v>
      </c>
      <c r="M34" s="134">
        <f>SUM(M21,M22,M24,M26,M28)</f>
        <v>86570</v>
      </c>
      <c r="N34" s="135">
        <f>SUM(N21:N33)</f>
        <v>88301.42</v>
      </c>
    </row>
    <row r="35" spans="1:14" s="142" customFormat="1" ht="13.5" thickBot="1">
      <c r="A35" s="137"/>
      <c r="B35" s="138"/>
      <c r="C35" s="138"/>
      <c r="D35" s="396"/>
      <c r="E35" s="138"/>
      <c r="F35" s="138"/>
      <c r="G35" s="139"/>
      <c r="H35" s="140"/>
      <c r="I35" s="139"/>
      <c r="J35" s="140"/>
      <c r="K35" s="139"/>
      <c r="L35" s="140"/>
      <c r="M35" s="139"/>
      <c r="N35" s="140"/>
    </row>
    <row r="36" spans="1:14" s="7" customFormat="1" ht="13.5" thickBot="1">
      <c r="A36" s="131" t="s">
        <v>72</v>
      </c>
      <c r="B36" s="132"/>
      <c r="C36" s="132"/>
      <c r="D36" s="395"/>
      <c r="E36" s="132"/>
      <c r="F36" s="133"/>
      <c r="G36" s="135">
        <f>G21+G30+G22+G24+G23</f>
        <v>124910</v>
      </c>
      <c r="H36" s="143">
        <f>H21+H30+H22</f>
        <v>115666.66</v>
      </c>
      <c r="I36" s="135">
        <f t="shared" ref="I36:N36" si="6">I21+I30+I22</f>
        <v>151180</v>
      </c>
      <c r="J36" s="135">
        <f t="shared" si="6"/>
        <v>151180</v>
      </c>
      <c r="K36" s="135">
        <f t="shared" si="6"/>
        <v>109090</v>
      </c>
      <c r="L36" s="135">
        <f t="shared" si="6"/>
        <v>106908.20000000001</v>
      </c>
      <c r="M36" s="135">
        <f t="shared" si="6"/>
        <v>88301.4</v>
      </c>
      <c r="N36" s="135">
        <f t="shared" si="6"/>
        <v>88301.4</v>
      </c>
    </row>
    <row r="37" spans="1:14" ht="13.5" thickBot="1">
      <c r="A37" s="145"/>
      <c r="B37" s="146" t="s">
        <v>1305</v>
      </c>
      <c r="C37" s="147"/>
      <c r="D37" s="146"/>
      <c r="E37" s="147"/>
      <c r="F37" s="397"/>
      <c r="G37" s="308"/>
      <c r="H37" s="475"/>
      <c r="I37" s="308"/>
      <c r="J37" s="475"/>
      <c r="K37" s="308"/>
      <c r="L37" s="475"/>
      <c r="M37" s="308"/>
      <c r="N37" s="475"/>
    </row>
    <row r="38" spans="1:14">
      <c r="A38" s="155" t="s">
        <v>73</v>
      </c>
      <c r="B38" s="156" t="s">
        <v>74</v>
      </c>
      <c r="C38" s="157"/>
      <c r="D38" s="398"/>
      <c r="E38" s="157"/>
      <c r="F38" s="399"/>
      <c r="G38" s="159" t="s">
        <v>392</v>
      </c>
      <c r="H38" s="159" t="s">
        <v>392</v>
      </c>
      <c r="I38" s="159" t="s">
        <v>392</v>
      </c>
      <c r="J38" s="159" t="s">
        <v>392</v>
      </c>
      <c r="K38" s="159" t="s">
        <v>392</v>
      </c>
      <c r="L38" s="159" t="s">
        <v>392</v>
      </c>
      <c r="M38" s="159" t="s">
        <v>392</v>
      </c>
      <c r="N38" s="159" t="s">
        <v>392</v>
      </c>
    </row>
    <row r="39" spans="1:14" ht="13.5" thickBot="1">
      <c r="A39" s="164" t="s">
        <v>79</v>
      </c>
      <c r="B39" s="165" t="s">
        <v>80</v>
      </c>
      <c r="C39" s="166"/>
      <c r="D39" s="400"/>
      <c r="E39" s="166"/>
      <c r="F39" s="401"/>
      <c r="G39" s="159" t="s">
        <v>165</v>
      </c>
      <c r="H39" s="476" t="s">
        <v>1306</v>
      </c>
      <c r="I39" s="477" t="s">
        <v>329</v>
      </c>
      <c r="J39" s="476" t="s">
        <v>393</v>
      </c>
      <c r="K39" s="476" t="s">
        <v>82</v>
      </c>
      <c r="L39" s="476" t="s">
        <v>82</v>
      </c>
      <c r="M39" s="476" t="s">
        <v>82</v>
      </c>
      <c r="N39" s="476" t="s">
        <v>82</v>
      </c>
    </row>
    <row r="40" spans="1:14" ht="65.25" customHeight="1">
      <c r="A40" s="173" t="s">
        <v>85</v>
      </c>
      <c r="B40" s="174" t="s">
        <v>86</v>
      </c>
      <c r="C40" s="175"/>
      <c r="D40" s="174"/>
      <c r="E40" s="175"/>
      <c r="F40" s="402"/>
      <c r="G40" s="180" t="s">
        <v>167</v>
      </c>
      <c r="H40" s="180" t="s">
        <v>1307</v>
      </c>
      <c r="I40" s="180" t="s">
        <v>350</v>
      </c>
      <c r="J40" s="180" t="s">
        <v>394</v>
      </c>
      <c r="K40" s="180" t="s">
        <v>281</v>
      </c>
      <c r="L40" s="180" t="s">
        <v>1308</v>
      </c>
      <c r="M40" s="180" t="s">
        <v>281</v>
      </c>
      <c r="N40" s="180" t="s">
        <v>1308</v>
      </c>
    </row>
    <row r="41" spans="1:14">
      <c r="A41" s="181" t="s">
        <v>90</v>
      </c>
      <c r="B41" s="175" t="s">
        <v>91</v>
      </c>
      <c r="C41" s="175"/>
      <c r="D41" s="174"/>
      <c r="E41" s="175"/>
      <c r="F41" s="402"/>
      <c r="G41" s="188" t="s">
        <v>351</v>
      </c>
      <c r="H41" s="188" t="s">
        <v>351</v>
      </c>
      <c r="I41" s="188" t="s">
        <v>351</v>
      </c>
      <c r="J41" s="188" t="s">
        <v>351</v>
      </c>
      <c r="K41" s="188" t="s">
        <v>351</v>
      </c>
      <c r="L41" s="188" t="s">
        <v>351</v>
      </c>
      <c r="M41" s="188" t="s">
        <v>351</v>
      </c>
      <c r="N41" s="188" t="s">
        <v>351</v>
      </c>
    </row>
    <row r="42" spans="1:14" ht="39.950000000000003" customHeight="1">
      <c r="A42" s="181" t="s">
        <v>93</v>
      </c>
      <c r="B42" s="174" t="s">
        <v>94</v>
      </c>
      <c r="C42" s="175"/>
      <c r="D42" s="174"/>
      <c r="E42" s="175"/>
      <c r="F42" s="402"/>
      <c r="G42" s="478"/>
      <c r="H42" s="479"/>
      <c r="I42" s="478" t="s">
        <v>332</v>
      </c>
      <c r="J42" s="479" t="s">
        <v>332</v>
      </c>
      <c r="K42" s="478" t="s">
        <v>332</v>
      </c>
      <c r="L42" s="479" t="s">
        <v>332</v>
      </c>
      <c r="M42" s="478" t="s">
        <v>332</v>
      </c>
      <c r="N42" s="479" t="s">
        <v>332</v>
      </c>
    </row>
    <row r="43" spans="1:14" ht="140.25">
      <c r="A43" s="181" t="s">
        <v>95</v>
      </c>
      <c r="B43" s="174" t="s">
        <v>96</v>
      </c>
      <c r="C43" s="175"/>
      <c r="D43" s="174"/>
      <c r="E43" s="175"/>
      <c r="F43" s="402"/>
      <c r="G43" s="180" t="s">
        <v>97</v>
      </c>
      <c r="H43" s="180" t="s">
        <v>97</v>
      </c>
      <c r="I43" s="180" t="s">
        <v>97</v>
      </c>
      <c r="J43" s="180" t="s">
        <v>98</v>
      </c>
      <c r="K43" s="180" t="s">
        <v>97</v>
      </c>
      <c r="L43" s="180" t="s">
        <v>98</v>
      </c>
      <c r="M43" s="180" t="s">
        <v>97</v>
      </c>
      <c r="N43" s="180" t="s">
        <v>98</v>
      </c>
    </row>
    <row r="44" spans="1:14" ht="64.5" thickBot="1">
      <c r="A44" s="189" t="s">
        <v>99</v>
      </c>
      <c r="B44" s="190" t="s">
        <v>100</v>
      </c>
      <c r="C44" s="191"/>
      <c r="D44" s="190"/>
      <c r="E44" s="191"/>
      <c r="F44" s="403"/>
      <c r="G44" s="477" t="s">
        <v>101</v>
      </c>
      <c r="H44" s="477" t="s">
        <v>396</v>
      </c>
      <c r="I44" s="477" t="s">
        <v>101</v>
      </c>
      <c r="J44" s="652" t="s">
        <v>101</v>
      </c>
      <c r="K44" s="652" t="s">
        <v>101</v>
      </c>
      <c r="L44" s="652" t="s">
        <v>101</v>
      </c>
      <c r="M44" s="652" t="s">
        <v>101</v>
      </c>
      <c r="N44" s="652" t="s">
        <v>101</v>
      </c>
    </row>
    <row r="45" spans="1:14" ht="30" customHeight="1">
      <c r="A45" s="1866" t="s">
        <v>102</v>
      </c>
      <c r="B45" s="1867"/>
      <c r="C45" s="1971"/>
      <c r="D45" s="405"/>
      <c r="E45" s="1858" t="s">
        <v>103</v>
      </c>
      <c r="F45" s="1859"/>
      <c r="G45" s="1859"/>
      <c r="H45" s="1859"/>
      <c r="I45" s="1966"/>
      <c r="J45" s="1856" t="s">
        <v>104</v>
      </c>
      <c r="K45" s="1857"/>
      <c r="L45" s="1967"/>
      <c r="M45" s="608"/>
      <c r="N45" s="608"/>
    </row>
    <row r="46" spans="1:14" ht="13.5" thickBot="1">
      <c r="A46" s="1866"/>
      <c r="B46" s="1867"/>
      <c r="C46" s="1971"/>
      <c r="D46" s="405"/>
      <c r="E46" s="1858"/>
      <c r="F46" s="1859"/>
      <c r="G46" s="1859"/>
      <c r="H46" s="1859"/>
      <c r="I46" s="1966"/>
      <c r="J46" s="1968"/>
      <c r="K46" s="1969"/>
      <c r="L46" s="1970"/>
      <c r="M46" s="608"/>
      <c r="N46" s="608"/>
    </row>
    <row r="47" spans="1:14">
      <c r="A47" s="149"/>
      <c r="B47" s="197"/>
      <c r="C47" s="152"/>
      <c r="D47" s="197"/>
      <c r="E47" s="152"/>
      <c r="F47" s="406"/>
      <c r="G47" s="152"/>
      <c r="H47" s="152"/>
      <c r="I47" s="152"/>
      <c r="J47" s="152"/>
      <c r="K47" s="152"/>
      <c r="L47" s="152"/>
      <c r="M47" s="202"/>
      <c r="N47" s="202"/>
    </row>
    <row r="48" spans="1:14">
      <c r="A48" s="200"/>
      <c r="B48" s="201"/>
      <c r="C48" s="202"/>
      <c r="D48" s="201"/>
      <c r="E48" s="202"/>
      <c r="F48" s="407"/>
      <c r="G48" s="202"/>
      <c r="H48" s="202"/>
      <c r="I48" s="202"/>
      <c r="J48" s="202"/>
      <c r="K48" s="202"/>
      <c r="L48" s="202"/>
      <c r="M48" s="202"/>
      <c r="N48" s="202"/>
    </row>
    <row r="49" spans="1:18">
      <c r="A49" s="200"/>
      <c r="B49" s="27" t="s">
        <v>105</v>
      </c>
      <c r="C49" s="28"/>
      <c r="D49" s="27"/>
      <c r="E49" s="28"/>
      <c r="F49" s="28" t="s">
        <v>106</v>
      </c>
      <c r="G49" s="202"/>
      <c r="H49" s="28"/>
      <c r="I49" s="28"/>
      <c r="J49" s="28"/>
      <c r="K49" s="28" t="s">
        <v>107</v>
      </c>
      <c r="L49" s="202"/>
      <c r="M49" s="202"/>
      <c r="N49" s="202"/>
    </row>
    <row r="50" spans="1:18" ht="13.5" thickBot="1">
      <c r="A50" s="205"/>
      <c r="B50" s="206"/>
      <c r="C50" s="207"/>
      <c r="D50" s="206"/>
      <c r="E50" s="207"/>
      <c r="F50" s="207"/>
      <c r="G50" s="207"/>
      <c r="H50" s="207"/>
      <c r="I50" s="207"/>
      <c r="J50" s="207"/>
      <c r="K50" s="207"/>
      <c r="L50" s="207"/>
      <c r="M50" s="202"/>
      <c r="N50" s="202"/>
    </row>
    <row r="51" spans="1:18">
      <c r="B51" s="209" t="s">
        <v>1309</v>
      </c>
      <c r="C51" s="9" t="s">
        <v>1154</v>
      </c>
      <c r="D51" s="209" t="s">
        <v>1310</v>
      </c>
      <c r="E51" s="9" t="s">
        <v>35</v>
      </c>
      <c r="F51" s="9" t="s">
        <v>1311</v>
      </c>
    </row>
    <row r="52" spans="1:18" ht="25.5">
      <c r="A52" s="653">
        <v>8</v>
      </c>
      <c r="B52" s="654" t="s">
        <v>1312</v>
      </c>
      <c r="C52" s="655">
        <v>1100017516</v>
      </c>
      <c r="D52" s="468">
        <v>10</v>
      </c>
      <c r="E52" s="277" t="s">
        <v>1313</v>
      </c>
      <c r="F52" s="656">
        <v>4</v>
      </c>
      <c r="G52" s="426">
        <v>8250</v>
      </c>
      <c r="H52" s="458"/>
      <c r="I52" s="657"/>
      <c r="J52" s="460"/>
      <c r="K52" s="461"/>
      <c r="L52" s="422"/>
      <c r="M52" s="658"/>
      <c r="N52" s="658"/>
      <c r="O52" s="659"/>
      <c r="P52" s="659"/>
      <c r="Q52" s="266"/>
      <c r="R52" s="266"/>
    </row>
    <row r="53" spans="1:18" ht="63.75">
      <c r="A53" s="653">
        <v>9</v>
      </c>
      <c r="B53" s="654" t="s">
        <v>1314</v>
      </c>
      <c r="C53" s="655">
        <v>1100017483</v>
      </c>
      <c r="D53" s="468">
        <v>10</v>
      </c>
      <c r="E53" s="235" t="s">
        <v>192</v>
      </c>
      <c r="F53" s="656">
        <v>4</v>
      </c>
      <c r="G53" s="426">
        <v>1250</v>
      </c>
      <c r="H53" s="458"/>
      <c r="I53" s="657"/>
      <c r="J53" s="460"/>
      <c r="K53" s="461"/>
      <c r="L53" s="422"/>
      <c r="M53" s="658"/>
      <c r="N53" s="658"/>
      <c r="O53" s="659">
        <v>1100017063</v>
      </c>
      <c r="P53" s="659">
        <v>30</v>
      </c>
      <c r="Q53" s="266"/>
      <c r="R53" s="266"/>
    </row>
    <row r="54" spans="1:18" ht="15">
      <c r="A54" s="653">
        <v>10</v>
      </c>
      <c r="B54" s="660" t="s">
        <v>1315</v>
      </c>
      <c r="C54" s="655">
        <v>1100017402</v>
      </c>
      <c r="D54" s="468">
        <v>10</v>
      </c>
      <c r="E54" s="235" t="s">
        <v>192</v>
      </c>
      <c r="F54" s="656">
        <v>30</v>
      </c>
      <c r="G54" s="426">
        <v>380</v>
      </c>
      <c r="H54" s="458"/>
      <c r="I54" s="657"/>
      <c r="J54" s="460"/>
      <c r="K54" s="461"/>
      <c r="L54" s="422"/>
      <c r="M54" s="658"/>
      <c r="N54" s="658"/>
      <c r="O54" s="659">
        <v>1100017063</v>
      </c>
      <c r="P54" s="659">
        <v>20</v>
      </c>
      <c r="Q54" s="266"/>
      <c r="R54" s="266"/>
    </row>
    <row r="55" spans="1:18" ht="15">
      <c r="A55" s="653">
        <v>11</v>
      </c>
      <c r="B55" s="660" t="s">
        <v>1316</v>
      </c>
      <c r="C55" s="661">
        <v>1100017402</v>
      </c>
      <c r="D55" s="468">
        <v>40</v>
      </c>
      <c r="E55" s="235" t="s">
        <v>192</v>
      </c>
      <c r="F55" s="662">
        <v>15</v>
      </c>
      <c r="G55" s="426">
        <v>670</v>
      </c>
      <c r="H55" s="458"/>
      <c r="I55" s="657"/>
      <c r="J55" s="460"/>
      <c r="K55" s="461"/>
      <c r="L55" s="422"/>
      <c r="M55" s="658"/>
      <c r="N55" s="658"/>
      <c r="O55" s="659">
        <v>1100017063</v>
      </c>
      <c r="P55" s="659">
        <v>30</v>
      </c>
      <c r="Q55" s="266"/>
      <c r="R55" s="266"/>
    </row>
  </sheetData>
  <mergeCells count="34">
    <mergeCell ref="A2:L2"/>
    <mergeCell ref="A3:L3"/>
    <mergeCell ref="F4:F5"/>
    <mergeCell ref="G4:H5"/>
    <mergeCell ref="A7:A12"/>
    <mergeCell ref="B7:B12"/>
    <mergeCell ref="C7:C12"/>
    <mergeCell ref="E7:E12"/>
    <mergeCell ref="F7:F12"/>
    <mergeCell ref="G7:H7"/>
    <mergeCell ref="G11:H11"/>
    <mergeCell ref="I11:J11"/>
    <mergeCell ref="K11:L11"/>
    <mergeCell ref="I7:J7"/>
    <mergeCell ref="K7:L7"/>
    <mergeCell ref="M7:N7"/>
    <mergeCell ref="G8:H9"/>
    <mergeCell ref="K8:L9"/>
    <mergeCell ref="M8:N9"/>
    <mergeCell ref="I9:J9"/>
    <mergeCell ref="Q10:R10"/>
    <mergeCell ref="E45:I46"/>
    <mergeCell ref="J45:L46"/>
    <mergeCell ref="A22:B22"/>
    <mergeCell ref="A24:B24"/>
    <mergeCell ref="A27:B27"/>
    <mergeCell ref="A31:B31"/>
    <mergeCell ref="A33:B33"/>
    <mergeCell ref="A45:C46"/>
    <mergeCell ref="M11:N11"/>
    <mergeCell ref="G10:H10"/>
    <mergeCell ref="I10:J10"/>
    <mergeCell ref="K10:L10"/>
    <mergeCell ref="M10:N10"/>
  </mergeCells>
  <pageMargins left="0.25" right="0.25" top="0.75" bottom="0.75" header="0.3" footer="0.3"/>
  <pageSetup scale="50"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topLeftCell="A23" zoomScaleNormal="100" workbookViewId="0">
      <selection activeCell="K26" sqref="K26"/>
    </sheetView>
  </sheetViews>
  <sheetFormatPr defaultRowHeight="12.75"/>
  <cols>
    <col min="1" max="1" width="6.140625" style="9" customWidth="1"/>
    <col min="2" max="2" width="48.85546875" style="209" customWidth="1"/>
    <col min="3" max="3" width="17.7109375" style="9" customWidth="1"/>
    <col min="4" max="4" width="9.85546875" style="209" customWidth="1"/>
    <col min="5" max="5" width="14.5703125" style="220" bestFit="1" customWidth="1"/>
    <col min="6" max="6" width="6.140625" style="9" customWidth="1"/>
    <col min="7" max="7" width="8.85546875" style="9" customWidth="1"/>
    <col min="8" max="8" width="19" style="9" customWidth="1"/>
    <col min="9" max="9" width="15.5703125" style="9" customWidth="1"/>
    <col min="10" max="10" width="17.5703125" style="9" customWidth="1"/>
    <col min="11" max="13" width="21" style="9" customWidth="1"/>
    <col min="14" max="14" width="12.42578125" style="9" bestFit="1" customWidth="1"/>
    <col min="15" max="15" width="11.140625" style="9" bestFit="1" customWidth="1"/>
    <col min="16" max="16" width="12.42578125" style="9" hidden="1" customWidth="1"/>
    <col min="17" max="17" width="14.28515625" style="9" hidden="1" customWidth="1"/>
    <col min="18" max="250" width="9.140625" style="9"/>
    <col min="251" max="251" width="4" style="9" customWidth="1"/>
    <col min="252" max="252" width="30.7109375" style="9" customWidth="1"/>
    <col min="253" max="254" width="10" style="9" customWidth="1"/>
    <col min="255" max="255" width="9.85546875" style="9" customWidth="1"/>
    <col min="256" max="256" width="12.42578125" style="9" customWidth="1"/>
    <col min="257" max="262" width="12.7109375" style="9" customWidth="1"/>
    <col min="263" max="263" width="13" style="9" customWidth="1"/>
    <col min="264" max="265" width="12.7109375" style="9" customWidth="1"/>
    <col min="266" max="266" width="9.140625" style="9"/>
    <col min="267" max="267" width="11.140625" style="9" bestFit="1" customWidth="1"/>
    <col min="268" max="506" width="9.140625" style="9"/>
    <col min="507" max="507" width="4" style="9" customWidth="1"/>
    <col min="508" max="508" width="30.7109375" style="9" customWidth="1"/>
    <col min="509" max="510" width="10" style="9" customWidth="1"/>
    <col min="511" max="511" width="9.85546875" style="9" customWidth="1"/>
    <col min="512" max="512" width="12.42578125" style="9" customWidth="1"/>
    <col min="513" max="518" width="12.7109375" style="9" customWidth="1"/>
    <col min="519" max="519" width="13" style="9" customWidth="1"/>
    <col min="520" max="521" width="12.7109375" style="9" customWidth="1"/>
    <col min="522" max="522" width="9.140625" style="9"/>
    <col min="523" max="523" width="11.140625" style="9" bestFit="1" customWidth="1"/>
    <col min="524" max="762" width="9.140625" style="9"/>
    <col min="763" max="763" width="4" style="9" customWidth="1"/>
    <col min="764" max="764" width="30.7109375" style="9" customWidth="1"/>
    <col min="765" max="766" width="10" style="9" customWidth="1"/>
    <col min="767" max="767" width="9.85546875" style="9" customWidth="1"/>
    <col min="768" max="768" width="12.42578125" style="9" customWidth="1"/>
    <col min="769" max="774" width="12.7109375" style="9" customWidth="1"/>
    <col min="775" max="775" width="13" style="9" customWidth="1"/>
    <col min="776" max="777" width="12.7109375" style="9" customWidth="1"/>
    <col min="778" max="778" width="9.140625" style="9"/>
    <col min="779" max="779" width="11.140625" style="9" bestFit="1" customWidth="1"/>
    <col min="780" max="1018" width="9.140625" style="9"/>
    <col min="1019" max="1019" width="4" style="9" customWidth="1"/>
    <col min="1020" max="1020" width="30.7109375" style="9" customWidth="1"/>
    <col min="1021" max="1022" width="10" style="9" customWidth="1"/>
    <col min="1023" max="1023" width="9.85546875" style="9" customWidth="1"/>
    <col min="1024" max="1024" width="12.42578125" style="9" customWidth="1"/>
    <col min="1025" max="1030" width="12.7109375" style="9" customWidth="1"/>
    <col min="1031" max="1031" width="13" style="9" customWidth="1"/>
    <col min="1032" max="1033" width="12.7109375" style="9" customWidth="1"/>
    <col min="1034" max="1034" width="9.140625" style="9"/>
    <col min="1035" max="1035" width="11.140625" style="9" bestFit="1" customWidth="1"/>
    <col min="1036" max="1274" width="9.140625" style="9"/>
    <col min="1275" max="1275" width="4" style="9" customWidth="1"/>
    <col min="1276" max="1276" width="30.7109375" style="9" customWidth="1"/>
    <col min="1277" max="1278" width="10" style="9" customWidth="1"/>
    <col min="1279" max="1279" width="9.85546875" style="9" customWidth="1"/>
    <col min="1280" max="1280" width="12.42578125" style="9" customWidth="1"/>
    <col min="1281" max="1286" width="12.7109375" style="9" customWidth="1"/>
    <col min="1287" max="1287" width="13" style="9" customWidth="1"/>
    <col min="1288" max="1289" width="12.7109375" style="9" customWidth="1"/>
    <col min="1290" max="1290" width="9.140625" style="9"/>
    <col min="1291" max="1291" width="11.140625" style="9" bestFit="1" customWidth="1"/>
    <col min="1292" max="1530" width="9.140625" style="9"/>
    <col min="1531" max="1531" width="4" style="9" customWidth="1"/>
    <col min="1532" max="1532" width="30.7109375" style="9" customWidth="1"/>
    <col min="1533" max="1534" width="10" style="9" customWidth="1"/>
    <col min="1535" max="1535" width="9.85546875" style="9" customWidth="1"/>
    <col min="1536" max="1536" width="12.42578125" style="9" customWidth="1"/>
    <col min="1537" max="1542" width="12.7109375" style="9" customWidth="1"/>
    <col min="1543" max="1543" width="13" style="9" customWidth="1"/>
    <col min="1544" max="1545" width="12.7109375" style="9" customWidth="1"/>
    <col min="1546" max="1546" width="9.140625" style="9"/>
    <col min="1547" max="1547" width="11.140625" style="9" bestFit="1" customWidth="1"/>
    <col min="1548" max="1786" width="9.140625" style="9"/>
    <col min="1787" max="1787" width="4" style="9" customWidth="1"/>
    <col min="1788" max="1788" width="30.7109375" style="9" customWidth="1"/>
    <col min="1789" max="1790" width="10" style="9" customWidth="1"/>
    <col min="1791" max="1791" width="9.85546875" style="9" customWidth="1"/>
    <col min="1792" max="1792" width="12.42578125" style="9" customWidth="1"/>
    <col min="1793" max="1798" width="12.7109375" style="9" customWidth="1"/>
    <col min="1799" max="1799" width="13" style="9" customWidth="1"/>
    <col min="1800" max="1801" width="12.7109375" style="9" customWidth="1"/>
    <col min="1802" max="1802" width="9.140625" style="9"/>
    <col min="1803" max="1803" width="11.140625" style="9" bestFit="1" customWidth="1"/>
    <col min="1804" max="2042" width="9.140625" style="9"/>
    <col min="2043" max="2043" width="4" style="9" customWidth="1"/>
    <col min="2044" max="2044" width="30.7109375" style="9" customWidth="1"/>
    <col min="2045" max="2046" width="10" style="9" customWidth="1"/>
    <col min="2047" max="2047" width="9.85546875" style="9" customWidth="1"/>
    <col min="2048" max="2048" width="12.42578125" style="9" customWidth="1"/>
    <col min="2049" max="2054" width="12.7109375" style="9" customWidth="1"/>
    <col min="2055" max="2055" width="13" style="9" customWidth="1"/>
    <col min="2056" max="2057" width="12.7109375" style="9" customWidth="1"/>
    <col min="2058" max="2058" width="9.140625" style="9"/>
    <col min="2059" max="2059" width="11.140625" style="9" bestFit="1" customWidth="1"/>
    <col min="2060" max="2298" width="9.140625" style="9"/>
    <col min="2299" max="2299" width="4" style="9" customWidth="1"/>
    <col min="2300" max="2300" width="30.7109375" style="9" customWidth="1"/>
    <col min="2301" max="2302" width="10" style="9" customWidth="1"/>
    <col min="2303" max="2303" width="9.85546875" style="9" customWidth="1"/>
    <col min="2304" max="2304" width="12.42578125" style="9" customWidth="1"/>
    <col min="2305" max="2310" width="12.7109375" style="9" customWidth="1"/>
    <col min="2311" max="2311" width="13" style="9" customWidth="1"/>
    <col min="2312" max="2313" width="12.7109375" style="9" customWidth="1"/>
    <col min="2314" max="2314" width="9.140625" style="9"/>
    <col min="2315" max="2315" width="11.140625" style="9" bestFit="1" customWidth="1"/>
    <col min="2316" max="2554" width="9.140625" style="9"/>
    <col min="2555" max="2555" width="4" style="9" customWidth="1"/>
    <col min="2556" max="2556" width="30.7109375" style="9" customWidth="1"/>
    <col min="2557" max="2558" width="10" style="9" customWidth="1"/>
    <col min="2559" max="2559" width="9.85546875" style="9" customWidth="1"/>
    <col min="2560" max="2560" width="12.42578125" style="9" customWidth="1"/>
    <col min="2561" max="2566" width="12.7109375" style="9" customWidth="1"/>
    <col min="2567" max="2567" width="13" style="9" customWidth="1"/>
    <col min="2568" max="2569" width="12.7109375" style="9" customWidth="1"/>
    <col min="2570" max="2570" width="9.140625" style="9"/>
    <col min="2571" max="2571" width="11.140625" style="9" bestFit="1" customWidth="1"/>
    <col min="2572" max="2810" width="9.140625" style="9"/>
    <col min="2811" max="2811" width="4" style="9" customWidth="1"/>
    <col min="2812" max="2812" width="30.7109375" style="9" customWidth="1"/>
    <col min="2813" max="2814" width="10" style="9" customWidth="1"/>
    <col min="2815" max="2815" width="9.85546875" style="9" customWidth="1"/>
    <col min="2816" max="2816" width="12.42578125" style="9" customWidth="1"/>
    <col min="2817" max="2822" width="12.7109375" style="9" customWidth="1"/>
    <col min="2823" max="2823" width="13" style="9" customWidth="1"/>
    <col min="2824" max="2825" width="12.7109375" style="9" customWidth="1"/>
    <col min="2826" max="2826" width="9.140625" style="9"/>
    <col min="2827" max="2827" width="11.140625" style="9" bestFit="1" customWidth="1"/>
    <col min="2828" max="3066" width="9.140625" style="9"/>
    <col min="3067" max="3067" width="4" style="9" customWidth="1"/>
    <col min="3068" max="3068" width="30.7109375" style="9" customWidth="1"/>
    <col min="3069" max="3070" width="10" style="9" customWidth="1"/>
    <col min="3071" max="3071" width="9.85546875" style="9" customWidth="1"/>
    <col min="3072" max="3072" width="12.42578125" style="9" customWidth="1"/>
    <col min="3073" max="3078" width="12.7109375" style="9" customWidth="1"/>
    <col min="3079" max="3079" width="13" style="9" customWidth="1"/>
    <col min="3080" max="3081" width="12.7109375" style="9" customWidth="1"/>
    <col min="3082" max="3082" width="9.140625" style="9"/>
    <col min="3083" max="3083" width="11.140625" style="9" bestFit="1" customWidth="1"/>
    <col min="3084" max="3322" width="9.140625" style="9"/>
    <col min="3323" max="3323" width="4" style="9" customWidth="1"/>
    <col min="3324" max="3324" width="30.7109375" style="9" customWidth="1"/>
    <col min="3325" max="3326" width="10" style="9" customWidth="1"/>
    <col min="3327" max="3327" width="9.85546875" style="9" customWidth="1"/>
    <col min="3328" max="3328" width="12.42578125" style="9" customWidth="1"/>
    <col min="3329" max="3334" width="12.7109375" style="9" customWidth="1"/>
    <col min="3335" max="3335" width="13" style="9" customWidth="1"/>
    <col min="3336" max="3337" width="12.7109375" style="9" customWidth="1"/>
    <col min="3338" max="3338" width="9.140625" style="9"/>
    <col min="3339" max="3339" width="11.140625" style="9" bestFit="1" customWidth="1"/>
    <col min="3340" max="3578" width="9.140625" style="9"/>
    <col min="3579" max="3579" width="4" style="9" customWidth="1"/>
    <col min="3580" max="3580" width="30.7109375" style="9" customWidth="1"/>
    <col min="3581" max="3582" width="10" style="9" customWidth="1"/>
    <col min="3583" max="3583" width="9.85546875" style="9" customWidth="1"/>
    <col min="3584" max="3584" width="12.42578125" style="9" customWidth="1"/>
    <col min="3585" max="3590" width="12.7109375" style="9" customWidth="1"/>
    <col min="3591" max="3591" width="13" style="9" customWidth="1"/>
    <col min="3592" max="3593" width="12.7109375" style="9" customWidth="1"/>
    <col min="3594" max="3594" width="9.140625" style="9"/>
    <col min="3595" max="3595" width="11.140625" style="9" bestFit="1" customWidth="1"/>
    <col min="3596" max="3834" width="9.140625" style="9"/>
    <col min="3835" max="3835" width="4" style="9" customWidth="1"/>
    <col min="3836" max="3836" width="30.7109375" style="9" customWidth="1"/>
    <col min="3837" max="3838" width="10" style="9" customWidth="1"/>
    <col min="3839" max="3839" width="9.85546875" style="9" customWidth="1"/>
    <col min="3840" max="3840" width="12.42578125" style="9" customWidth="1"/>
    <col min="3841" max="3846" width="12.7109375" style="9" customWidth="1"/>
    <col min="3847" max="3847" width="13" style="9" customWidth="1"/>
    <col min="3848" max="3849" width="12.7109375" style="9" customWidth="1"/>
    <col min="3850" max="3850" width="9.140625" style="9"/>
    <col min="3851" max="3851" width="11.140625" style="9" bestFit="1" customWidth="1"/>
    <col min="3852" max="4090" width="9.140625" style="9"/>
    <col min="4091" max="4091" width="4" style="9" customWidth="1"/>
    <col min="4092" max="4092" width="30.7109375" style="9" customWidth="1"/>
    <col min="4093" max="4094" width="10" style="9" customWidth="1"/>
    <col min="4095" max="4095" width="9.85546875" style="9" customWidth="1"/>
    <col min="4096" max="4096" width="12.42578125" style="9" customWidth="1"/>
    <col min="4097" max="4102" width="12.7109375" style="9" customWidth="1"/>
    <col min="4103" max="4103" width="13" style="9" customWidth="1"/>
    <col min="4104" max="4105" width="12.7109375" style="9" customWidth="1"/>
    <col min="4106" max="4106" width="9.140625" style="9"/>
    <col min="4107" max="4107" width="11.140625" style="9" bestFit="1" customWidth="1"/>
    <col min="4108" max="4346" width="9.140625" style="9"/>
    <col min="4347" max="4347" width="4" style="9" customWidth="1"/>
    <col min="4348" max="4348" width="30.7109375" style="9" customWidth="1"/>
    <col min="4349" max="4350" width="10" style="9" customWidth="1"/>
    <col min="4351" max="4351" width="9.85546875" style="9" customWidth="1"/>
    <col min="4352" max="4352" width="12.42578125" style="9" customWidth="1"/>
    <col min="4353" max="4358" width="12.7109375" style="9" customWidth="1"/>
    <col min="4359" max="4359" width="13" style="9" customWidth="1"/>
    <col min="4360" max="4361" width="12.7109375" style="9" customWidth="1"/>
    <col min="4362" max="4362" width="9.140625" style="9"/>
    <col min="4363" max="4363" width="11.140625" style="9" bestFit="1" customWidth="1"/>
    <col min="4364" max="4602" width="9.140625" style="9"/>
    <col min="4603" max="4603" width="4" style="9" customWidth="1"/>
    <col min="4604" max="4604" width="30.7109375" style="9" customWidth="1"/>
    <col min="4605" max="4606" width="10" style="9" customWidth="1"/>
    <col min="4607" max="4607" width="9.85546875" style="9" customWidth="1"/>
    <col min="4608" max="4608" width="12.42578125" style="9" customWidth="1"/>
    <col min="4609" max="4614" width="12.7109375" style="9" customWidth="1"/>
    <col min="4615" max="4615" width="13" style="9" customWidth="1"/>
    <col min="4616" max="4617" width="12.7109375" style="9" customWidth="1"/>
    <col min="4618" max="4618" width="9.140625" style="9"/>
    <col min="4619" max="4619" width="11.140625" style="9" bestFit="1" customWidth="1"/>
    <col min="4620" max="4858" width="9.140625" style="9"/>
    <col min="4859" max="4859" width="4" style="9" customWidth="1"/>
    <col min="4860" max="4860" width="30.7109375" style="9" customWidth="1"/>
    <col min="4861" max="4862" width="10" style="9" customWidth="1"/>
    <col min="4863" max="4863" width="9.85546875" style="9" customWidth="1"/>
    <col min="4864" max="4864" width="12.42578125" style="9" customWidth="1"/>
    <col min="4865" max="4870" width="12.7109375" style="9" customWidth="1"/>
    <col min="4871" max="4871" width="13" style="9" customWidth="1"/>
    <col min="4872" max="4873" width="12.7109375" style="9" customWidth="1"/>
    <col min="4874" max="4874" width="9.140625" style="9"/>
    <col min="4875" max="4875" width="11.140625" style="9" bestFit="1" customWidth="1"/>
    <col min="4876" max="5114" width="9.140625" style="9"/>
    <col min="5115" max="5115" width="4" style="9" customWidth="1"/>
    <col min="5116" max="5116" width="30.7109375" style="9" customWidth="1"/>
    <col min="5117" max="5118" width="10" style="9" customWidth="1"/>
    <col min="5119" max="5119" width="9.85546875" style="9" customWidth="1"/>
    <col min="5120" max="5120" width="12.42578125" style="9" customWidth="1"/>
    <col min="5121" max="5126" width="12.7109375" style="9" customWidth="1"/>
    <col min="5127" max="5127" width="13" style="9" customWidth="1"/>
    <col min="5128" max="5129" width="12.7109375" style="9" customWidth="1"/>
    <col min="5130" max="5130" width="9.140625" style="9"/>
    <col min="5131" max="5131" width="11.140625" style="9" bestFit="1" customWidth="1"/>
    <col min="5132" max="5370" width="9.140625" style="9"/>
    <col min="5371" max="5371" width="4" style="9" customWidth="1"/>
    <col min="5372" max="5372" width="30.7109375" style="9" customWidth="1"/>
    <col min="5373" max="5374" width="10" style="9" customWidth="1"/>
    <col min="5375" max="5375" width="9.85546875" style="9" customWidth="1"/>
    <col min="5376" max="5376" width="12.42578125" style="9" customWidth="1"/>
    <col min="5377" max="5382" width="12.7109375" style="9" customWidth="1"/>
    <col min="5383" max="5383" width="13" style="9" customWidth="1"/>
    <col min="5384" max="5385" width="12.7109375" style="9" customWidth="1"/>
    <col min="5386" max="5386" width="9.140625" style="9"/>
    <col min="5387" max="5387" width="11.140625" style="9" bestFit="1" customWidth="1"/>
    <col min="5388" max="5626" width="9.140625" style="9"/>
    <col min="5627" max="5627" width="4" style="9" customWidth="1"/>
    <col min="5628" max="5628" width="30.7109375" style="9" customWidth="1"/>
    <col min="5629" max="5630" width="10" style="9" customWidth="1"/>
    <col min="5631" max="5631" width="9.85546875" style="9" customWidth="1"/>
    <col min="5632" max="5632" width="12.42578125" style="9" customWidth="1"/>
    <col min="5633" max="5638" width="12.7109375" style="9" customWidth="1"/>
    <col min="5639" max="5639" width="13" style="9" customWidth="1"/>
    <col min="5640" max="5641" width="12.7109375" style="9" customWidth="1"/>
    <col min="5642" max="5642" width="9.140625" style="9"/>
    <col min="5643" max="5643" width="11.140625" style="9" bestFit="1" customWidth="1"/>
    <col min="5644" max="5882" width="9.140625" style="9"/>
    <col min="5883" max="5883" width="4" style="9" customWidth="1"/>
    <col min="5884" max="5884" width="30.7109375" style="9" customWidth="1"/>
    <col min="5885" max="5886" width="10" style="9" customWidth="1"/>
    <col min="5887" max="5887" width="9.85546875" style="9" customWidth="1"/>
    <col min="5888" max="5888" width="12.42578125" style="9" customWidth="1"/>
    <col min="5889" max="5894" width="12.7109375" style="9" customWidth="1"/>
    <col min="5895" max="5895" width="13" style="9" customWidth="1"/>
    <col min="5896" max="5897" width="12.7109375" style="9" customWidth="1"/>
    <col min="5898" max="5898" width="9.140625" style="9"/>
    <col min="5899" max="5899" width="11.140625" style="9" bestFit="1" customWidth="1"/>
    <col min="5900" max="6138" width="9.140625" style="9"/>
    <col min="6139" max="6139" width="4" style="9" customWidth="1"/>
    <col min="6140" max="6140" width="30.7109375" style="9" customWidth="1"/>
    <col min="6141" max="6142" width="10" style="9" customWidth="1"/>
    <col min="6143" max="6143" width="9.85546875" style="9" customWidth="1"/>
    <col min="6144" max="6144" width="12.42578125" style="9" customWidth="1"/>
    <col min="6145" max="6150" width="12.7109375" style="9" customWidth="1"/>
    <col min="6151" max="6151" width="13" style="9" customWidth="1"/>
    <col min="6152" max="6153" width="12.7109375" style="9" customWidth="1"/>
    <col min="6154" max="6154" width="9.140625" style="9"/>
    <col min="6155" max="6155" width="11.140625" style="9" bestFit="1" customWidth="1"/>
    <col min="6156" max="6394" width="9.140625" style="9"/>
    <col min="6395" max="6395" width="4" style="9" customWidth="1"/>
    <col min="6396" max="6396" width="30.7109375" style="9" customWidth="1"/>
    <col min="6397" max="6398" width="10" style="9" customWidth="1"/>
    <col min="6399" max="6399" width="9.85546875" style="9" customWidth="1"/>
    <col min="6400" max="6400" width="12.42578125" style="9" customWidth="1"/>
    <col min="6401" max="6406" width="12.7109375" style="9" customWidth="1"/>
    <col min="6407" max="6407" width="13" style="9" customWidth="1"/>
    <col min="6408" max="6409" width="12.7109375" style="9" customWidth="1"/>
    <col min="6410" max="6410" width="9.140625" style="9"/>
    <col min="6411" max="6411" width="11.140625" style="9" bestFit="1" customWidth="1"/>
    <col min="6412" max="6650" width="9.140625" style="9"/>
    <col min="6651" max="6651" width="4" style="9" customWidth="1"/>
    <col min="6652" max="6652" width="30.7109375" style="9" customWidth="1"/>
    <col min="6653" max="6654" width="10" style="9" customWidth="1"/>
    <col min="6655" max="6655" width="9.85546875" style="9" customWidth="1"/>
    <col min="6656" max="6656" width="12.42578125" style="9" customWidth="1"/>
    <col min="6657" max="6662" width="12.7109375" style="9" customWidth="1"/>
    <col min="6663" max="6663" width="13" style="9" customWidth="1"/>
    <col min="6664" max="6665" width="12.7109375" style="9" customWidth="1"/>
    <col min="6666" max="6666" width="9.140625" style="9"/>
    <col min="6667" max="6667" width="11.140625" style="9" bestFit="1" customWidth="1"/>
    <col min="6668" max="6906" width="9.140625" style="9"/>
    <col min="6907" max="6907" width="4" style="9" customWidth="1"/>
    <col min="6908" max="6908" width="30.7109375" style="9" customWidth="1"/>
    <col min="6909" max="6910" width="10" style="9" customWidth="1"/>
    <col min="6911" max="6911" width="9.85546875" style="9" customWidth="1"/>
    <col min="6912" max="6912" width="12.42578125" style="9" customWidth="1"/>
    <col min="6913" max="6918" width="12.7109375" style="9" customWidth="1"/>
    <col min="6919" max="6919" width="13" style="9" customWidth="1"/>
    <col min="6920" max="6921" width="12.7109375" style="9" customWidth="1"/>
    <col min="6922" max="6922" width="9.140625" style="9"/>
    <col min="6923" max="6923" width="11.140625" style="9" bestFit="1" customWidth="1"/>
    <col min="6924" max="7162" width="9.140625" style="9"/>
    <col min="7163" max="7163" width="4" style="9" customWidth="1"/>
    <col min="7164" max="7164" width="30.7109375" style="9" customWidth="1"/>
    <col min="7165" max="7166" width="10" style="9" customWidth="1"/>
    <col min="7167" max="7167" width="9.85546875" style="9" customWidth="1"/>
    <col min="7168" max="7168" width="12.42578125" style="9" customWidth="1"/>
    <col min="7169" max="7174" width="12.7109375" style="9" customWidth="1"/>
    <col min="7175" max="7175" width="13" style="9" customWidth="1"/>
    <col min="7176" max="7177" width="12.7109375" style="9" customWidth="1"/>
    <col min="7178" max="7178" width="9.140625" style="9"/>
    <col min="7179" max="7179" width="11.140625" style="9" bestFit="1" customWidth="1"/>
    <col min="7180" max="7418" width="9.140625" style="9"/>
    <col min="7419" max="7419" width="4" style="9" customWidth="1"/>
    <col min="7420" max="7420" width="30.7109375" style="9" customWidth="1"/>
    <col min="7421" max="7422" width="10" style="9" customWidth="1"/>
    <col min="7423" max="7423" width="9.85546875" style="9" customWidth="1"/>
    <col min="7424" max="7424" width="12.42578125" style="9" customWidth="1"/>
    <col min="7425" max="7430" width="12.7109375" style="9" customWidth="1"/>
    <col min="7431" max="7431" width="13" style="9" customWidth="1"/>
    <col min="7432" max="7433" width="12.7109375" style="9" customWidth="1"/>
    <col min="7434" max="7434" width="9.140625" style="9"/>
    <col min="7435" max="7435" width="11.140625" style="9" bestFit="1" customWidth="1"/>
    <col min="7436" max="7674" width="9.140625" style="9"/>
    <col min="7675" max="7675" width="4" style="9" customWidth="1"/>
    <col min="7676" max="7676" width="30.7109375" style="9" customWidth="1"/>
    <col min="7677" max="7678" width="10" style="9" customWidth="1"/>
    <col min="7679" max="7679" width="9.85546875" style="9" customWidth="1"/>
    <col min="7680" max="7680" width="12.42578125" style="9" customWidth="1"/>
    <col min="7681" max="7686" width="12.7109375" style="9" customWidth="1"/>
    <col min="7687" max="7687" width="13" style="9" customWidth="1"/>
    <col min="7688" max="7689" width="12.7109375" style="9" customWidth="1"/>
    <col min="7690" max="7690" width="9.140625" style="9"/>
    <col min="7691" max="7691" width="11.140625" style="9" bestFit="1" customWidth="1"/>
    <col min="7692" max="7930" width="9.140625" style="9"/>
    <col min="7931" max="7931" width="4" style="9" customWidth="1"/>
    <col min="7932" max="7932" width="30.7109375" style="9" customWidth="1"/>
    <col min="7933" max="7934" width="10" style="9" customWidth="1"/>
    <col min="7935" max="7935" width="9.85546875" style="9" customWidth="1"/>
    <col min="7936" max="7936" width="12.42578125" style="9" customWidth="1"/>
    <col min="7937" max="7942" width="12.7109375" style="9" customWidth="1"/>
    <col min="7943" max="7943" width="13" style="9" customWidth="1"/>
    <col min="7944" max="7945" width="12.7109375" style="9" customWidth="1"/>
    <col min="7946" max="7946" width="9.140625" style="9"/>
    <col min="7947" max="7947" width="11.140625" style="9" bestFit="1" customWidth="1"/>
    <col min="7948" max="8186" width="9.140625" style="9"/>
    <col min="8187" max="8187" width="4" style="9" customWidth="1"/>
    <col min="8188" max="8188" width="30.7109375" style="9" customWidth="1"/>
    <col min="8189" max="8190" width="10" style="9" customWidth="1"/>
    <col min="8191" max="8191" width="9.85546875" style="9" customWidth="1"/>
    <col min="8192" max="8192" width="12.42578125" style="9" customWidth="1"/>
    <col min="8193" max="8198" width="12.7109375" style="9" customWidth="1"/>
    <col min="8199" max="8199" width="13" style="9" customWidth="1"/>
    <col min="8200" max="8201" width="12.7109375" style="9" customWidth="1"/>
    <col min="8202" max="8202" width="9.140625" style="9"/>
    <col min="8203" max="8203" width="11.140625" style="9" bestFit="1" customWidth="1"/>
    <col min="8204" max="8442" width="9.140625" style="9"/>
    <col min="8443" max="8443" width="4" style="9" customWidth="1"/>
    <col min="8444" max="8444" width="30.7109375" style="9" customWidth="1"/>
    <col min="8445" max="8446" width="10" style="9" customWidth="1"/>
    <col min="8447" max="8447" width="9.85546875" style="9" customWidth="1"/>
    <col min="8448" max="8448" width="12.42578125" style="9" customWidth="1"/>
    <col min="8449" max="8454" width="12.7109375" style="9" customWidth="1"/>
    <col min="8455" max="8455" width="13" style="9" customWidth="1"/>
    <col min="8456" max="8457" width="12.7109375" style="9" customWidth="1"/>
    <col min="8458" max="8458" width="9.140625" style="9"/>
    <col min="8459" max="8459" width="11.140625" style="9" bestFit="1" customWidth="1"/>
    <col min="8460" max="8698" width="9.140625" style="9"/>
    <col min="8699" max="8699" width="4" style="9" customWidth="1"/>
    <col min="8700" max="8700" width="30.7109375" style="9" customWidth="1"/>
    <col min="8701" max="8702" width="10" style="9" customWidth="1"/>
    <col min="8703" max="8703" width="9.85546875" style="9" customWidth="1"/>
    <col min="8704" max="8704" width="12.42578125" style="9" customWidth="1"/>
    <col min="8705" max="8710" width="12.7109375" style="9" customWidth="1"/>
    <col min="8711" max="8711" width="13" style="9" customWidth="1"/>
    <col min="8712" max="8713" width="12.7109375" style="9" customWidth="1"/>
    <col min="8714" max="8714" width="9.140625" style="9"/>
    <col min="8715" max="8715" width="11.140625" style="9" bestFit="1" customWidth="1"/>
    <col min="8716" max="8954" width="9.140625" style="9"/>
    <col min="8955" max="8955" width="4" style="9" customWidth="1"/>
    <col min="8956" max="8956" width="30.7109375" style="9" customWidth="1"/>
    <col min="8957" max="8958" width="10" style="9" customWidth="1"/>
    <col min="8959" max="8959" width="9.85546875" style="9" customWidth="1"/>
    <col min="8960" max="8960" width="12.42578125" style="9" customWidth="1"/>
    <col min="8961" max="8966" width="12.7109375" style="9" customWidth="1"/>
    <col min="8967" max="8967" width="13" style="9" customWidth="1"/>
    <col min="8968" max="8969" width="12.7109375" style="9" customWidth="1"/>
    <col min="8970" max="8970" width="9.140625" style="9"/>
    <col min="8971" max="8971" width="11.140625" style="9" bestFit="1" customWidth="1"/>
    <col min="8972" max="9210" width="9.140625" style="9"/>
    <col min="9211" max="9211" width="4" style="9" customWidth="1"/>
    <col min="9212" max="9212" width="30.7109375" style="9" customWidth="1"/>
    <col min="9213" max="9214" width="10" style="9" customWidth="1"/>
    <col min="9215" max="9215" width="9.85546875" style="9" customWidth="1"/>
    <col min="9216" max="9216" width="12.42578125" style="9" customWidth="1"/>
    <col min="9217" max="9222" width="12.7109375" style="9" customWidth="1"/>
    <col min="9223" max="9223" width="13" style="9" customWidth="1"/>
    <col min="9224" max="9225" width="12.7109375" style="9" customWidth="1"/>
    <col min="9226" max="9226" width="9.140625" style="9"/>
    <col min="9227" max="9227" width="11.140625" style="9" bestFit="1" customWidth="1"/>
    <col min="9228" max="9466" width="9.140625" style="9"/>
    <col min="9467" max="9467" width="4" style="9" customWidth="1"/>
    <col min="9468" max="9468" width="30.7109375" style="9" customWidth="1"/>
    <col min="9469" max="9470" width="10" style="9" customWidth="1"/>
    <col min="9471" max="9471" width="9.85546875" style="9" customWidth="1"/>
    <col min="9472" max="9472" width="12.42578125" style="9" customWidth="1"/>
    <col min="9473" max="9478" width="12.7109375" style="9" customWidth="1"/>
    <col min="9479" max="9479" width="13" style="9" customWidth="1"/>
    <col min="9480" max="9481" width="12.7109375" style="9" customWidth="1"/>
    <col min="9482" max="9482" width="9.140625" style="9"/>
    <col min="9483" max="9483" width="11.140625" style="9" bestFit="1" customWidth="1"/>
    <col min="9484" max="9722" width="9.140625" style="9"/>
    <col min="9723" max="9723" width="4" style="9" customWidth="1"/>
    <col min="9724" max="9724" width="30.7109375" style="9" customWidth="1"/>
    <col min="9725" max="9726" width="10" style="9" customWidth="1"/>
    <col min="9727" max="9727" width="9.85546875" style="9" customWidth="1"/>
    <col min="9728" max="9728" width="12.42578125" style="9" customWidth="1"/>
    <col min="9729" max="9734" width="12.7109375" style="9" customWidth="1"/>
    <col min="9735" max="9735" width="13" style="9" customWidth="1"/>
    <col min="9736" max="9737" width="12.7109375" style="9" customWidth="1"/>
    <col min="9738" max="9738" width="9.140625" style="9"/>
    <col min="9739" max="9739" width="11.140625" style="9" bestFit="1" customWidth="1"/>
    <col min="9740" max="9978" width="9.140625" style="9"/>
    <col min="9979" max="9979" width="4" style="9" customWidth="1"/>
    <col min="9980" max="9980" width="30.7109375" style="9" customWidth="1"/>
    <col min="9981" max="9982" width="10" style="9" customWidth="1"/>
    <col min="9983" max="9983" width="9.85546875" style="9" customWidth="1"/>
    <col min="9984" max="9984" width="12.42578125" style="9" customWidth="1"/>
    <col min="9985" max="9990" width="12.7109375" style="9" customWidth="1"/>
    <col min="9991" max="9991" width="13" style="9" customWidth="1"/>
    <col min="9992" max="9993" width="12.7109375" style="9" customWidth="1"/>
    <col min="9994" max="9994" width="9.140625" style="9"/>
    <col min="9995" max="9995" width="11.140625" style="9" bestFit="1" customWidth="1"/>
    <col min="9996" max="10234" width="9.140625" style="9"/>
    <col min="10235" max="10235" width="4" style="9" customWidth="1"/>
    <col min="10236" max="10236" width="30.7109375" style="9" customWidth="1"/>
    <col min="10237" max="10238" width="10" style="9" customWidth="1"/>
    <col min="10239" max="10239" width="9.85546875" style="9" customWidth="1"/>
    <col min="10240" max="10240" width="12.42578125" style="9" customWidth="1"/>
    <col min="10241" max="10246" width="12.7109375" style="9" customWidth="1"/>
    <col min="10247" max="10247" width="13" style="9" customWidth="1"/>
    <col min="10248" max="10249" width="12.7109375" style="9" customWidth="1"/>
    <col min="10250" max="10250" width="9.140625" style="9"/>
    <col min="10251" max="10251" width="11.140625" style="9" bestFit="1" customWidth="1"/>
    <col min="10252" max="10490" width="9.140625" style="9"/>
    <col min="10491" max="10491" width="4" style="9" customWidth="1"/>
    <col min="10492" max="10492" width="30.7109375" style="9" customWidth="1"/>
    <col min="10493" max="10494" width="10" style="9" customWidth="1"/>
    <col min="10495" max="10495" width="9.85546875" style="9" customWidth="1"/>
    <col min="10496" max="10496" width="12.42578125" style="9" customWidth="1"/>
    <col min="10497" max="10502" width="12.7109375" style="9" customWidth="1"/>
    <col min="10503" max="10503" width="13" style="9" customWidth="1"/>
    <col min="10504" max="10505" width="12.7109375" style="9" customWidth="1"/>
    <col min="10506" max="10506" width="9.140625" style="9"/>
    <col min="10507" max="10507" width="11.140625" style="9" bestFit="1" customWidth="1"/>
    <col min="10508" max="10746" width="9.140625" style="9"/>
    <col min="10747" max="10747" width="4" style="9" customWidth="1"/>
    <col min="10748" max="10748" width="30.7109375" style="9" customWidth="1"/>
    <col min="10749" max="10750" width="10" style="9" customWidth="1"/>
    <col min="10751" max="10751" width="9.85546875" style="9" customWidth="1"/>
    <col min="10752" max="10752" width="12.42578125" style="9" customWidth="1"/>
    <col min="10753" max="10758" width="12.7109375" style="9" customWidth="1"/>
    <col min="10759" max="10759" width="13" style="9" customWidth="1"/>
    <col min="10760" max="10761" width="12.7109375" style="9" customWidth="1"/>
    <col min="10762" max="10762" width="9.140625" style="9"/>
    <col min="10763" max="10763" width="11.140625" style="9" bestFit="1" customWidth="1"/>
    <col min="10764" max="11002" width="9.140625" style="9"/>
    <col min="11003" max="11003" width="4" style="9" customWidth="1"/>
    <col min="11004" max="11004" width="30.7109375" style="9" customWidth="1"/>
    <col min="11005" max="11006" width="10" style="9" customWidth="1"/>
    <col min="11007" max="11007" width="9.85546875" style="9" customWidth="1"/>
    <col min="11008" max="11008" width="12.42578125" style="9" customWidth="1"/>
    <col min="11009" max="11014" width="12.7109375" style="9" customWidth="1"/>
    <col min="11015" max="11015" width="13" style="9" customWidth="1"/>
    <col min="11016" max="11017" width="12.7109375" style="9" customWidth="1"/>
    <col min="11018" max="11018" width="9.140625" style="9"/>
    <col min="11019" max="11019" width="11.140625" style="9" bestFit="1" customWidth="1"/>
    <col min="11020" max="11258" width="9.140625" style="9"/>
    <col min="11259" max="11259" width="4" style="9" customWidth="1"/>
    <col min="11260" max="11260" width="30.7109375" style="9" customWidth="1"/>
    <col min="11261" max="11262" width="10" style="9" customWidth="1"/>
    <col min="11263" max="11263" width="9.85546875" style="9" customWidth="1"/>
    <col min="11264" max="11264" width="12.42578125" style="9" customWidth="1"/>
    <col min="11265" max="11270" width="12.7109375" style="9" customWidth="1"/>
    <col min="11271" max="11271" width="13" style="9" customWidth="1"/>
    <col min="11272" max="11273" width="12.7109375" style="9" customWidth="1"/>
    <col min="11274" max="11274" width="9.140625" style="9"/>
    <col min="11275" max="11275" width="11.140625" style="9" bestFit="1" customWidth="1"/>
    <col min="11276" max="11514" width="9.140625" style="9"/>
    <col min="11515" max="11515" width="4" style="9" customWidth="1"/>
    <col min="11516" max="11516" width="30.7109375" style="9" customWidth="1"/>
    <col min="11517" max="11518" width="10" style="9" customWidth="1"/>
    <col min="11519" max="11519" width="9.85546875" style="9" customWidth="1"/>
    <col min="11520" max="11520" width="12.42578125" style="9" customWidth="1"/>
    <col min="11521" max="11526" width="12.7109375" style="9" customWidth="1"/>
    <col min="11527" max="11527" width="13" style="9" customWidth="1"/>
    <col min="11528" max="11529" width="12.7109375" style="9" customWidth="1"/>
    <col min="11530" max="11530" width="9.140625" style="9"/>
    <col min="11531" max="11531" width="11.140625" style="9" bestFit="1" customWidth="1"/>
    <col min="11532" max="11770" width="9.140625" style="9"/>
    <col min="11771" max="11771" width="4" style="9" customWidth="1"/>
    <col min="11772" max="11772" width="30.7109375" style="9" customWidth="1"/>
    <col min="11773" max="11774" width="10" style="9" customWidth="1"/>
    <col min="11775" max="11775" width="9.85546875" style="9" customWidth="1"/>
    <col min="11776" max="11776" width="12.42578125" style="9" customWidth="1"/>
    <col min="11777" max="11782" width="12.7109375" style="9" customWidth="1"/>
    <col min="11783" max="11783" width="13" style="9" customWidth="1"/>
    <col min="11784" max="11785" width="12.7109375" style="9" customWidth="1"/>
    <col min="11786" max="11786" width="9.140625" style="9"/>
    <col min="11787" max="11787" width="11.140625" style="9" bestFit="1" customWidth="1"/>
    <col min="11788" max="12026" width="9.140625" style="9"/>
    <col min="12027" max="12027" width="4" style="9" customWidth="1"/>
    <col min="12028" max="12028" width="30.7109375" style="9" customWidth="1"/>
    <col min="12029" max="12030" width="10" style="9" customWidth="1"/>
    <col min="12031" max="12031" width="9.85546875" style="9" customWidth="1"/>
    <col min="12032" max="12032" width="12.42578125" style="9" customWidth="1"/>
    <col min="12033" max="12038" width="12.7109375" style="9" customWidth="1"/>
    <col min="12039" max="12039" width="13" style="9" customWidth="1"/>
    <col min="12040" max="12041" width="12.7109375" style="9" customWidth="1"/>
    <col min="12042" max="12042" width="9.140625" style="9"/>
    <col min="12043" max="12043" width="11.140625" style="9" bestFit="1" customWidth="1"/>
    <col min="12044" max="12282" width="9.140625" style="9"/>
    <col min="12283" max="12283" width="4" style="9" customWidth="1"/>
    <col min="12284" max="12284" width="30.7109375" style="9" customWidth="1"/>
    <col min="12285" max="12286" width="10" style="9" customWidth="1"/>
    <col min="12287" max="12287" width="9.85546875" style="9" customWidth="1"/>
    <col min="12288" max="12288" width="12.42578125" style="9" customWidth="1"/>
    <col min="12289" max="12294" width="12.7109375" style="9" customWidth="1"/>
    <col min="12295" max="12295" width="13" style="9" customWidth="1"/>
    <col min="12296" max="12297" width="12.7109375" style="9" customWidth="1"/>
    <col min="12298" max="12298" width="9.140625" style="9"/>
    <col min="12299" max="12299" width="11.140625" style="9" bestFit="1" customWidth="1"/>
    <col min="12300" max="12538" width="9.140625" style="9"/>
    <col min="12539" max="12539" width="4" style="9" customWidth="1"/>
    <col min="12540" max="12540" width="30.7109375" style="9" customWidth="1"/>
    <col min="12541" max="12542" width="10" style="9" customWidth="1"/>
    <col min="12543" max="12543" width="9.85546875" style="9" customWidth="1"/>
    <col min="12544" max="12544" width="12.42578125" style="9" customWidth="1"/>
    <col min="12545" max="12550" width="12.7109375" style="9" customWidth="1"/>
    <col min="12551" max="12551" width="13" style="9" customWidth="1"/>
    <col min="12552" max="12553" width="12.7109375" style="9" customWidth="1"/>
    <col min="12554" max="12554" width="9.140625" style="9"/>
    <col min="12555" max="12555" width="11.140625" style="9" bestFit="1" customWidth="1"/>
    <col min="12556" max="12794" width="9.140625" style="9"/>
    <col min="12795" max="12795" width="4" style="9" customWidth="1"/>
    <col min="12796" max="12796" width="30.7109375" style="9" customWidth="1"/>
    <col min="12797" max="12798" width="10" style="9" customWidth="1"/>
    <col min="12799" max="12799" width="9.85546875" style="9" customWidth="1"/>
    <col min="12800" max="12800" width="12.42578125" style="9" customWidth="1"/>
    <col min="12801" max="12806" width="12.7109375" style="9" customWidth="1"/>
    <col min="12807" max="12807" width="13" style="9" customWidth="1"/>
    <col min="12808" max="12809" width="12.7109375" style="9" customWidth="1"/>
    <col min="12810" max="12810" width="9.140625" style="9"/>
    <col min="12811" max="12811" width="11.140625" style="9" bestFit="1" customWidth="1"/>
    <col min="12812" max="13050" width="9.140625" style="9"/>
    <col min="13051" max="13051" width="4" style="9" customWidth="1"/>
    <col min="13052" max="13052" width="30.7109375" style="9" customWidth="1"/>
    <col min="13053" max="13054" width="10" style="9" customWidth="1"/>
    <col min="13055" max="13055" width="9.85546875" style="9" customWidth="1"/>
    <col min="13056" max="13056" width="12.42578125" style="9" customWidth="1"/>
    <col min="13057" max="13062" width="12.7109375" style="9" customWidth="1"/>
    <col min="13063" max="13063" width="13" style="9" customWidth="1"/>
    <col min="13064" max="13065" width="12.7109375" style="9" customWidth="1"/>
    <col min="13066" max="13066" width="9.140625" style="9"/>
    <col min="13067" max="13067" width="11.140625" style="9" bestFit="1" customWidth="1"/>
    <col min="13068" max="13306" width="9.140625" style="9"/>
    <col min="13307" max="13307" width="4" style="9" customWidth="1"/>
    <col min="13308" max="13308" width="30.7109375" style="9" customWidth="1"/>
    <col min="13309" max="13310" width="10" style="9" customWidth="1"/>
    <col min="13311" max="13311" width="9.85546875" style="9" customWidth="1"/>
    <col min="13312" max="13312" width="12.42578125" style="9" customWidth="1"/>
    <col min="13313" max="13318" width="12.7109375" style="9" customWidth="1"/>
    <col min="13319" max="13319" width="13" style="9" customWidth="1"/>
    <col min="13320" max="13321" width="12.7109375" style="9" customWidth="1"/>
    <col min="13322" max="13322" width="9.140625" style="9"/>
    <col min="13323" max="13323" width="11.140625" style="9" bestFit="1" customWidth="1"/>
    <col min="13324" max="13562" width="9.140625" style="9"/>
    <col min="13563" max="13563" width="4" style="9" customWidth="1"/>
    <col min="13564" max="13564" width="30.7109375" style="9" customWidth="1"/>
    <col min="13565" max="13566" width="10" style="9" customWidth="1"/>
    <col min="13567" max="13567" width="9.85546875" style="9" customWidth="1"/>
    <col min="13568" max="13568" width="12.42578125" style="9" customWidth="1"/>
    <col min="13569" max="13574" width="12.7109375" style="9" customWidth="1"/>
    <col min="13575" max="13575" width="13" style="9" customWidth="1"/>
    <col min="13576" max="13577" width="12.7109375" style="9" customWidth="1"/>
    <col min="13578" max="13578" width="9.140625" style="9"/>
    <col min="13579" max="13579" width="11.140625" style="9" bestFit="1" customWidth="1"/>
    <col min="13580" max="13818" width="9.140625" style="9"/>
    <col min="13819" max="13819" width="4" style="9" customWidth="1"/>
    <col min="13820" max="13820" width="30.7109375" style="9" customWidth="1"/>
    <col min="13821" max="13822" width="10" style="9" customWidth="1"/>
    <col min="13823" max="13823" width="9.85546875" style="9" customWidth="1"/>
    <col min="13824" max="13824" width="12.42578125" style="9" customWidth="1"/>
    <col min="13825" max="13830" width="12.7109375" style="9" customWidth="1"/>
    <col min="13831" max="13831" width="13" style="9" customWidth="1"/>
    <col min="13832" max="13833" width="12.7109375" style="9" customWidth="1"/>
    <col min="13834" max="13834" width="9.140625" style="9"/>
    <col min="13835" max="13835" width="11.140625" style="9" bestFit="1" customWidth="1"/>
    <col min="13836" max="14074" width="9.140625" style="9"/>
    <col min="14075" max="14075" width="4" style="9" customWidth="1"/>
    <col min="14076" max="14076" width="30.7109375" style="9" customWidth="1"/>
    <col min="14077" max="14078" width="10" style="9" customWidth="1"/>
    <col min="14079" max="14079" width="9.85546875" style="9" customWidth="1"/>
    <col min="14080" max="14080" width="12.42578125" style="9" customWidth="1"/>
    <col min="14081" max="14086" width="12.7109375" style="9" customWidth="1"/>
    <col min="14087" max="14087" width="13" style="9" customWidth="1"/>
    <col min="14088" max="14089" width="12.7109375" style="9" customWidth="1"/>
    <col min="14090" max="14090" width="9.140625" style="9"/>
    <col min="14091" max="14091" width="11.140625" style="9" bestFit="1" customWidth="1"/>
    <col min="14092" max="14330" width="9.140625" style="9"/>
    <col min="14331" max="14331" width="4" style="9" customWidth="1"/>
    <col min="14332" max="14332" width="30.7109375" style="9" customWidth="1"/>
    <col min="14333" max="14334" width="10" style="9" customWidth="1"/>
    <col min="14335" max="14335" width="9.85546875" style="9" customWidth="1"/>
    <col min="14336" max="14336" width="12.42578125" style="9" customWidth="1"/>
    <col min="14337" max="14342" width="12.7109375" style="9" customWidth="1"/>
    <col min="14343" max="14343" width="13" style="9" customWidth="1"/>
    <col min="14344" max="14345" width="12.7109375" style="9" customWidth="1"/>
    <col min="14346" max="14346" width="9.140625" style="9"/>
    <col min="14347" max="14347" width="11.140625" style="9" bestFit="1" customWidth="1"/>
    <col min="14348" max="14586" width="9.140625" style="9"/>
    <col min="14587" max="14587" width="4" style="9" customWidth="1"/>
    <col min="14588" max="14588" width="30.7109375" style="9" customWidth="1"/>
    <col min="14589" max="14590" width="10" style="9" customWidth="1"/>
    <col min="14591" max="14591" width="9.85546875" style="9" customWidth="1"/>
    <col min="14592" max="14592" width="12.42578125" style="9" customWidth="1"/>
    <col min="14593" max="14598" width="12.7109375" style="9" customWidth="1"/>
    <col min="14599" max="14599" width="13" style="9" customWidth="1"/>
    <col min="14600" max="14601" width="12.7109375" style="9" customWidth="1"/>
    <col min="14602" max="14602" width="9.140625" style="9"/>
    <col min="14603" max="14603" width="11.140625" style="9" bestFit="1" customWidth="1"/>
    <col min="14604" max="14842" width="9.140625" style="9"/>
    <col min="14843" max="14843" width="4" style="9" customWidth="1"/>
    <col min="14844" max="14844" width="30.7109375" style="9" customWidth="1"/>
    <col min="14845" max="14846" width="10" style="9" customWidth="1"/>
    <col min="14847" max="14847" width="9.85546875" style="9" customWidth="1"/>
    <col min="14848" max="14848" width="12.42578125" style="9" customWidth="1"/>
    <col min="14849" max="14854" width="12.7109375" style="9" customWidth="1"/>
    <col min="14855" max="14855" width="13" style="9" customWidth="1"/>
    <col min="14856" max="14857" width="12.7109375" style="9" customWidth="1"/>
    <col min="14858" max="14858" width="9.140625" style="9"/>
    <col min="14859" max="14859" width="11.140625" style="9" bestFit="1" customWidth="1"/>
    <col min="14860" max="15098" width="9.140625" style="9"/>
    <col min="15099" max="15099" width="4" style="9" customWidth="1"/>
    <col min="15100" max="15100" width="30.7109375" style="9" customWidth="1"/>
    <col min="15101" max="15102" width="10" style="9" customWidth="1"/>
    <col min="15103" max="15103" width="9.85546875" style="9" customWidth="1"/>
    <col min="15104" max="15104" width="12.42578125" style="9" customWidth="1"/>
    <col min="15105" max="15110" width="12.7109375" style="9" customWidth="1"/>
    <col min="15111" max="15111" width="13" style="9" customWidth="1"/>
    <col min="15112" max="15113" width="12.7109375" style="9" customWidth="1"/>
    <col min="15114" max="15114" width="9.140625" style="9"/>
    <col min="15115" max="15115" width="11.140625" style="9" bestFit="1" customWidth="1"/>
    <col min="15116" max="15354" width="9.140625" style="9"/>
    <col min="15355" max="15355" width="4" style="9" customWidth="1"/>
    <col min="15356" max="15356" width="30.7109375" style="9" customWidth="1"/>
    <col min="15357" max="15358" width="10" style="9" customWidth="1"/>
    <col min="15359" max="15359" width="9.85546875" style="9" customWidth="1"/>
    <col min="15360" max="15360" width="12.42578125" style="9" customWidth="1"/>
    <col min="15361" max="15366" width="12.7109375" style="9" customWidth="1"/>
    <col min="15367" max="15367" width="13" style="9" customWidth="1"/>
    <col min="15368" max="15369" width="12.7109375" style="9" customWidth="1"/>
    <col min="15370" max="15370" width="9.140625" style="9"/>
    <col min="15371" max="15371" width="11.140625" style="9" bestFit="1" customWidth="1"/>
    <col min="15372" max="15610" width="9.140625" style="9"/>
    <col min="15611" max="15611" width="4" style="9" customWidth="1"/>
    <col min="15612" max="15612" width="30.7109375" style="9" customWidth="1"/>
    <col min="15613" max="15614" width="10" style="9" customWidth="1"/>
    <col min="15615" max="15615" width="9.85546875" style="9" customWidth="1"/>
    <col min="15616" max="15616" width="12.42578125" style="9" customWidth="1"/>
    <col min="15617" max="15622" width="12.7109375" style="9" customWidth="1"/>
    <col min="15623" max="15623" width="13" style="9" customWidth="1"/>
    <col min="15624" max="15625" width="12.7109375" style="9" customWidth="1"/>
    <col min="15626" max="15626" width="9.140625" style="9"/>
    <col min="15627" max="15627" width="11.140625" style="9" bestFit="1" customWidth="1"/>
    <col min="15628" max="15866" width="9.140625" style="9"/>
    <col min="15867" max="15867" width="4" style="9" customWidth="1"/>
    <col min="15868" max="15868" width="30.7109375" style="9" customWidth="1"/>
    <col min="15869" max="15870" width="10" style="9" customWidth="1"/>
    <col min="15871" max="15871" width="9.85546875" style="9" customWidth="1"/>
    <col min="15872" max="15872" width="12.42578125" style="9" customWidth="1"/>
    <col min="15873" max="15878" width="12.7109375" style="9" customWidth="1"/>
    <col min="15879" max="15879" width="13" style="9" customWidth="1"/>
    <col min="15880" max="15881" width="12.7109375" style="9" customWidth="1"/>
    <col min="15882" max="15882" width="9.140625" style="9"/>
    <col min="15883" max="15883" width="11.140625" style="9" bestFit="1" customWidth="1"/>
    <col min="15884" max="16122" width="9.140625" style="9"/>
    <col min="16123" max="16123" width="4" style="9" customWidth="1"/>
    <col min="16124" max="16124" width="30.7109375" style="9" customWidth="1"/>
    <col min="16125" max="16126" width="10" style="9" customWidth="1"/>
    <col min="16127" max="16127" width="9.85546875" style="9" customWidth="1"/>
    <col min="16128" max="16128" width="12.42578125" style="9" customWidth="1"/>
    <col min="16129" max="16134" width="12.7109375" style="9" customWidth="1"/>
    <col min="16135" max="16135" width="13" style="9" customWidth="1"/>
    <col min="16136" max="16137" width="12.7109375" style="9" customWidth="1"/>
    <col min="16138" max="16138" width="9.140625" style="9"/>
    <col min="16139" max="16139" width="11.140625" style="9" bestFit="1" customWidth="1"/>
    <col min="16140" max="16384" width="9.140625" style="9"/>
  </cols>
  <sheetData>
    <row r="1" spans="1:17" s="7" customFormat="1" ht="13.5" thickBot="1">
      <c r="A1" s="7" t="s">
        <v>15</v>
      </c>
      <c r="B1" s="8"/>
      <c r="D1" s="8"/>
      <c r="E1" s="663"/>
    </row>
    <row r="2" spans="1:17" ht="23.25" thickBot="1">
      <c r="A2" s="1875" t="s">
        <v>16</v>
      </c>
      <c r="B2" s="1876"/>
      <c r="C2" s="1876"/>
      <c r="D2" s="1876"/>
      <c r="E2" s="1876"/>
      <c r="F2" s="1876"/>
      <c r="G2" s="1876"/>
      <c r="H2" s="1876"/>
      <c r="I2" s="1876"/>
      <c r="J2" s="1876"/>
      <c r="K2" s="1876"/>
      <c r="L2" s="613"/>
      <c r="M2" s="614"/>
    </row>
    <row r="3" spans="1:17" ht="16.5" thickBot="1">
      <c r="A3" s="1877" t="s">
        <v>17</v>
      </c>
      <c r="B3" s="1878"/>
      <c r="C3" s="1878"/>
      <c r="D3" s="1878"/>
      <c r="E3" s="1878"/>
      <c r="F3" s="1878"/>
      <c r="G3" s="1878"/>
      <c r="H3" s="1878"/>
      <c r="I3" s="1878"/>
      <c r="J3" s="1878"/>
      <c r="K3" s="1878"/>
      <c r="L3" s="615"/>
      <c r="M3" s="616"/>
    </row>
    <row r="4" spans="1:17" ht="25.5">
      <c r="A4" s="10" t="s">
        <v>18</v>
      </c>
      <c r="B4" s="11"/>
      <c r="C4" s="12" t="s">
        <v>19</v>
      </c>
      <c r="D4" s="12"/>
      <c r="E4" s="12"/>
      <c r="F4" s="13"/>
      <c r="G4" s="1879" t="s">
        <v>20</v>
      </c>
      <c r="H4" s="14" t="s">
        <v>21</v>
      </c>
      <c r="I4" s="354"/>
      <c r="J4" s="16"/>
      <c r="K4" s="17"/>
      <c r="L4" s="604"/>
      <c r="M4" s="604"/>
    </row>
    <row r="5" spans="1:17" ht="13.5" thickBot="1">
      <c r="A5" s="19" t="s">
        <v>26</v>
      </c>
      <c r="B5" s="20"/>
      <c r="C5" s="21" t="s">
        <v>27</v>
      </c>
      <c r="D5" s="21"/>
      <c r="E5" s="21"/>
      <c r="F5" s="22"/>
      <c r="G5" s="1880"/>
      <c r="H5" s="23" t="s">
        <v>28</v>
      </c>
      <c r="I5" s="354"/>
      <c r="J5" s="24"/>
      <c r="K5" s="25"/>
      <c r="L5" s="25"/>
      <c r="M5" s="25"/>
      <c r="N5" s="25" t="s">
        <v>18</v>
      </c>
      <c r="O5" s="25" t="s">
        <v>31</v>
      </c>
    </row>
    <row r="6" spans="1:17" ht="13.5" thickBot="1">
      <c r="A6" s="26"/>
      <c r="B6" s="27"/>
      <c r="F6" s="28"/>
      <c r="G6" s="355"/>
      <c r="H6" s="31"/>
      <c r="I6" s="28"/>
      <c r="J6" s="31"/>
      <c r="K6" s="28"/>
      <c r="L6" s="28"/>
      <c r="M6" s="28"/>
    </row>
    <row r="7" spans="1:17" ht="31.5" customHeight="1" thickBot="1">
      <c r="A7" s="1946" t="s">
        <v>32</v>
      </c>
      <c r="B7" s="1888" t="s">
        <v>33</v>
      </c>
      <c r="C7" s="1890" t="s">
        <v>1317</v>
      </c>
      <c r="D7" s="605"/>
      <c r="E7" s="605"/>
      <c r="F7" s="1892" t="s">
        <v>35</v>
      </c>
      <c r="G7" s="1741" t="s">
        <v>36</v>
      </c>
      <c r="H7" s="2003" t="s">
        <v>1318</v>
      </c>
      <c r="I7" s="2003"/>
      <c r="J7" s="1998"/>
      <c r="K7" s="1979"/>
      <c r="L7" s="1998"/>
      <c r="M7" s="1979"/>
    </row>
    <row r="8" spans="1:17" ht="19.5" customHeight="1">
      <c r="A8" s="1947"/>
      <c r="B8" s="1889"/>
      <c r="C8" s="1891"/>
      <c r="D8" s="606"/>
      <c r="E8" s="556"/>
      <c r="F8" s="1893"/>
      <c r="G8" s="1742"/>
      <c r="H8" s="664"/>
      <c r="I8" s="607"/>
      <c r="J8" s="1999"/>
      <c r="K8" s="1987"/>
      <c r="L8" s="1999"/>
      <c r="M8" s="1987"/>
    </row>
    <row r="9" spans="1:17" ht="21.75" customHeight="1" thickBot="1">
      <c r="A9" s="1947"/>
      <c r="B9" s="1889"/>
      <c r="C9" s="1891"/>
      <c r="D9" s="606"/>
      <c r="E9" s="556" t="s">
        <v>1319</v>
      </c>
      <c r="F9" s="1893"/>
      <c r="G9" s="1742"/>
      <c r="H9" s="1988" t="s">
        <v>1320</v>
      </c>
      <c r="I9" s="1988"/>
      <c r="J9" s="2000"/>
      <c r="K9" s="1989"/>
      <c r="L9" s="2000"/>
      <c r="M9" s="1989"/>
      <c r="N9" s="408"/>
    </row>
    <row r="10" spans="1:17" ht="39" customHeight="1" thickBot="1">
      <c r="A10" s="1947"/>
      <c r="B10" s="1889"/>
      <c r="C10" s="1891"/>
      <c r="D10" s="606" t="s">
        <v>1321</v>
      </c>
      <c r="E10" s="556"/>
      <c r="F10" s="1893"/>
      <c r="G10" s="1742"/>
      <c r="H10" s="2004" t="s">
        <v>1322</v>
      </c>
      <c r="I10" s="1997"/>
      <c r="J10" s="1978"/>
      <c r="K10" s="1979"/>
      <c r="L10" s="1978"/>
      <c r="M10" s="1979"/>
      <c r="P10" s="1995" t="s">
        <v>372</v>
      </c>
      <c r="Q10" s="1995"/>
    </row>
    <row r="11" spans="1:17" ht="13.5" thickBot="1">
      <c r="A11" s="1947"/>
      <c r="B11" s="1889"/>
      <c r="C11" s="1891"/>
      <c r="D11" s="606"/>
      <c r="E11" s="556"/>
      <c r="F11" s="1893"/>
      <c r="G11" s="1742"/>
      <c r="H11" s="1871" t="s">
        <v>46</v>
      </c>
      <c r="I11" s="1871"/>
      <c r="J11" s="1870"/>
      <c r="K11" s="1871"/>
      <c r="L11" s="1870"/>
      <c r="M11" s="1994"/>
      <c r="N11" s="219"/>
      <c r="P11" s="266"/>
      <c r="Q11" s="266"/>
    </row>
    <row r="12" spans="1:17" ht="13.5" thickBot="1">
      <c r="A12" s="2002"/>
      <c r="B12" s="2005"/>
      <c r="C12" s="2006"/>
      <c r="D12" s="665"/>
      <c r="E12" s="666"/>
      <c r="F12" s="2007"/>
      <c r="G12" s="1743"/>
      <c r="H12" s="667" t="s">
        <v>47</v>
      </c>
      <c r="I12" s="618" t="s">
        <v>48</v>
      </c>
      <c r="J12" s="617"/>
      <c r="K12" s="618"/>
      <c r="L12" s="617"/>
      <c r="M12" s="618"/>
      <c r="P12" s="266"/>
      <c r="Q12" s="266"/>
    </row>
    <row r="13" spans="1:17" s="409" customFormat="1">
      <c r="A13" s="668"/>
      <c r="B13" s="669"/>
      <c r="C13" s="670"/>
      <c r="D13" s="671"/>
      <c r="E13" s="672"/>
      <c r="F13" s="673"/>
      <c r="G13" s="674"/>
      <c r="H13" s="675"/>
      <c r="I13" s="676"/>
      <c r="J13" s="676"/>
      <c r="K13" s="676"/>
      <c r="L13" s="676"/>
      <c r="M13" s="676"/>
      <c r="P13" s="677"/>
      <c r="Q13" s="677"/>
    </row>
    <row r="14" spans="1:17" ht="30">
      <c r="A14" s="678">
        <v>1</v>
      </c>
      <c r="B14" s="679" t="s">
        <v>1323</v>
      </c>
      <c r="C14" s="202" t="s">
        <v>332</v>
      </c>
      <c r="D14" s="464"/>
      <c r="E14" s="680">
        <v>16875</v>
      </c>
      <c r="F14" s="681" t="s">
        <v>192</v>
      </c>
      <c r="G14" s="682">
        <v>2</v>
      </c>
      <c r="H14" s="683">
        <v>18750</v>
      </c>
      <c r="I14" s="625">
        <f>H14*0.9</f>
        <v>16875</v>
      </c>
      <c r="J14" s="684"/>
      <c r="K14" s="625"/>
      <c r="L14" s="684"/>
      <c r="M14" s="625"/>
      <c r="N14" s="685" t="s">
        <v>1299</v>
      </c>
      <c r="O14" s="685" t="s">
        <v>563</v>
      </c>
      <c r="P14" s="266"/>
      <c r="Q14" s="266"/>
    </row>
    <row r="15" spans="1:17" ht="75">
      <c r="A15" s="686">
        <v>2</v>
      </c>
      <c r="B15" s="687" t="s">
        <v>1324</v>
      </c>
      <c r="C15" s="688">
        <v>3000013504</v>
      </c>
      <c r="D15" s="464" t="s">
        <v>1325</v>
      </c>
      <c r="E15" s="680">
        <v>4500</v>
      </c>
      <c r="F15" s="681" t="s">
        <v>192</v>
      </c>
      <c r="G15" s="682">
        <v>1</v>
      </c>
      <c r="H15" s="363">
        <v>4290</v>
      </c>
      <c r="I15" s="635">
        <f>H15*0.925</f>
        <v>3968.25</v>
      </c>
      <c r="J15" s="636"/>
      <c r="K15" s="637"/>
      <c r="L15" s="636"/>
      <c r="M15" s="637"/>
      <c r="N15" s="685" t="s">
        <v>1299</v>
      </c>
      <c r="O15" s="685" t="s">
        <v>567</v>
      </c>
      <c r="P15" s="266"/>
      <c r="Q15" s="266"/>
    </row>
    <row r="16" spans="1:17" ht="75">
      <c r="A16" s="678">
        <v>3</v>
      </c>
      <c r="B16" s="679" t="s">
        <v>1326</v>
      </c>
      <c r="C16" s="688">
        <v>3000023270</v>
      </c>
      <c r="D16" s="464" t="s">
        <v>1327</v>
      </c>
      <c r="E16" s="680">
        <v>1096.1199999999999</v>
      </c>
      <c r="F16" s="689" t="s">
        <v>192</v>
      </c>
      <c r="G16" s="690">
        <v>2</v>
      </c>
      <c r="H16" s="691">
        <v>1096.1199999999999</v>
      </c>
      <c r="I16" s="635">
        <f>H16</f>
        <v>1096.1199999999999</v>
      </c>
      <c r="J16" s="636"/>
      <c r="K16" s="637"/>
      <c r="L16" s="636"/>
      <c r="M16" s="637"/>
      <c r="N16" s="692" t="s">
        <v>1328</v>
      </c>
      <c r="O16" s="692" t="s">
        <v>136</v>
      </c>
      <c r="P16" s="266"/>
      <c r="Q16" s="266"/>
    </row>
    <row r="17" spans="1:17" ht="75">
      <c r="A17" s="686">
        <v>4</v>
      </c>
      <c r="B17" s="687" t="s">
        <v>1329</v>
      </c>
      <c r="C17" s="688" t="s">
        <v>332</v>
      </c>
      <c r="D17" s="464"/>
      <c r="E17" s="680">
        <v>3653.75</v>
      </c>
      <c r="F17" s="681" t="s">
        <v>192</v>
      </c>
      <c r="G17" s="682">
        <v>1</v>
      </c>
      <c r="H17" s="691">
        <v>3950</v>
      </c>
      <c r="I17" s="635">
        <f>H17*0.925</f>
        <v>3653.75</v>
      </c>
      <c r="J17" s="636"/>
      <c r="K17" s="637"/>
      <c r="L17" s="636"/>
      <c r="M17" s="637"/>
      <c r="N17" s="685" t="s">
        <v>1330</v>
      </c>
      <c r="O17" s="685" t="s">
        <v>788</v>
      </c>
      <c r="P17" s="266"/>
      <c r="Q17" s="266"/>
    </row>
    <row r="18" spans="1:17" ht="60">
      <c r="A18" s="678">
        <v>5</v>
      </c>
      <c r="B18" s="687" t="s">
        <v>1331</v>
      </c>
      <c r="C18" s="688" t="s">
        <v>332</v>
      </c>
      <c r="D18" s="464"/>
      <c r="E18" s="680">
        <v>4116.25</v>
      </c>
      <c r="F18" s="681" t="s">
        <v>192</v>
      </c>
      <c r="G18" s="682">
        <v>1</v>
      </c>
      <c r="H18" s="691">
        <v>4450</v>
      </c>
      <c r="I18" s="635">
        <f>H18*0.925</f>
        <v>4116.25</v>
      </c>
      <c r="J18" s="636"/>
      <c r="K18" s="637"/>
      <c r="L18" s="636"/>
      <c r="M18" s="637"/>
      <c r="N18" s="685" t="s">
        <v>1330</v>
      </c>
      <c r="O18" s="685" t="s">
        <v>791</v>
      </c>
      <c r="P18" s="266"/>
      <c r="Q18" s="266"/>
    </row>
    <row r="19" spans="1:17" ht="90">
      <c r="A19" s="686">
        <v>6</v>
      </c>
      <c r="B19" s="687" t="s">
        <v>1332</v>
      </c>
      <c r="C19" s="9">
        <v>3000021852</v>
      </c>
      <c r="D19" s="464" t="s">
        <v>1333</v>
      </c>
      <c r="E19" s="693">
        <v>767.75</v>
      </c>
      <c r="F19" s="681" t="s">
        <v>192</v>
      </c>
      <c r="G19" s="682">
        <v>1</v>
      </c>
      <c r="H19" s="691">
        <v>830</v>
      </c>
      <c r="I19" s="635">
        <f>H19*0.925</f>
        <v>767.75</v>
      </c>
      <c r="J19" s="636"/>
      <c r="K19" s="637"/>
      <c r="L19" s="636"/>
      <c r="M19" s="637"/>
      <c r="N19" s="685" t="s">
        <v>1330</v>
      </c>
      <c r="O19" s="685" t="s">
        <v>209</v>
      </c>
      <c r="P19" s="266"/>
      <c r="Q19" s="266"/>
    </row>
    <row r="20" spans="1:17" ht="75">
      <c r="A20" s="678">
        <v>7</v>
      </c>
      <c r="B20" s="687" t="s">
        <v>1326</v>
      </c>
      <c r="C20" s="688">
        <v>3000023270</v>
      </c>
      <c r="D20" s="464" t="s">
        <v>1327</v>
      </c>
      <c r="E20" s="680">
        <v>1096.1199999999999</v>
      </c>
      <c r="F20" s="681" t="s">
        <v>192</v>
      </c>
      <c r="G20" s="682">
        <v>2</v>
      </c>
      <c r="H20" s="691">
        <v>1096.1199999999999</v>
      </c>
      <c r="I20" s="635">
        <f>H20</f>
        <v>1096.1199999999999</v>
      </c>
      <c r="J20" s="636"/>
      <c r="K20" s="637"/>
      <c r="L20" s="636"/>
      <c r="M20" s="637"/>
      <c r="N20" s="685" t="s">
        <v>1330</v>
      </c>
      <c r="O20" s="685" t="s">
        <v>214</v>
      </c>
      <c r="P20" s="266"/>
      <c r="Q20" s="266"/>
    </row>
    <row r="21" spans="1:17" ht="75">
      <c r="A21" s="686">
        <v>8</v>
      </c>
      <c r="B21" s="687" t="s">
        <v>1334</v>
      </c>
      <c r="C21" s="653">
        <v>3000014049</v>
      </c>
      <c r="D21" s="464" t="s">
        <v>1335</v>
      </c>
      <c r="E21" s="680">
        <v>2365.5</v>
      </c>
      <c r="F21" s="681" t="s">
        <v>192</v>
      </c>
      <c r="G21" s="682">
        <v>4</v>
      </c>
      <c r="H21" s="691">
        <v>1075</v>
      </c>
      <c r="I21" s="635">
        <f>H21*0.925</f>
        <v>994.375</v>
      </c>
      <c r="J21" s="636"/>
      <c r="K21" s="637"/>
      <c r="L21" s="636"/>
      <c r="M21" s="637"/>
      <c r="N21" s="685" t="s">
        <v>1330</v>
      </c>
      <c r="O21" s="685" t="s">
        <v>216</v>
      </c>
      <c r="P21" s="266"/>
      <c r="Q21" s="266"/>
    </row>
    <row r="22" spans="1:17" ht="75">
      <c r="A22" s="678">
        <v>9</v>
      </c>
      <c r="B22" s="687" t="s">
        <v>1336</v>
      </c>
      <c r="C22" s="653">
        <v>3000014049</v>
      </c>
      <c r="D22" s="464" t="s">
        <v>1335</v>
      </c>
      <c r="E22" s="680">
        <v>3622.5</v>
      </c>
      <c r="F22" s="681" t="s">
        <v>192</v>
      </c>
      <c r="G22" s="682">
        <v>6</v>
      </c>
      <c r="H22" s="691">
        <v>1776</v>
      </c>
      <c r="I22" s="635">
        <v>1776</v>
      </c>
      <c r="J22" s="636"/>
      <c r="K22" s="637"/>
      <c r="L22" s="636"/>
      <c r="M22" s="637"/>
      <c r="N22" s="685" t="s">
        <v>1330</v>
      </c>
      <c r="O22" s="685" t="s">
        <v>218</v>
      </c>
      <c r="P22" s="266"/>
      <c r="Q22" s="266"/>
    </row>
    <row r="23" spans="1:17" ht="75">
      <c r="A23" s="686">
        <v>10</v>
      </c>
      <c r="B23" s="687" t="s">
        <v>1337</v>
      </c>
      <c r="C23" s="9">
        <v>3000021852</v>
      </c>
      <c r="D23" s="464" t="s">
        <v>1333</v>
      </c>
      <c r="E23" s="680">
        <v>2751.88</v>
      </c>
      <c r="F23" s="681" t="s">
        <v>192</v>
      </c>
      <c r="G23" s="682">
        <v>3</v>
      </c>
      <c r="H23" s="363">
        <v>2975</v>
      </c>
      <c r="I23" s="635">
        <f>H23*0.925</f>
        <v>2751.875</v>
      </c>
      <c r="J23" s="636"/>
      <c r="K23" s="637"/>
      <c r="L23" s="636"/>
      <c r="M23" s="637"/>
      <c r="N23" s="685" t="s">
        <v>1330</v>
      </c>
      <c r="O23" s="685" t="s">
        <v>220</v>
      </c>
      <c r="P23" s="266"/>
      <c r="Q23" s="266"/>
    </row>
    <row r="24" spans="1:17" ht="60">
      <c r="A24" s="678">
        <v>11</v>
      </c>
      <c r="B24" s="687" t="s">
        <v>1338</v>
      </c>
      <c r="C24" s="688" t="s">
        <v>332</v>
      </c>
      <c r="D24" s="464"/>
      <c r="E24" s="680"/>
      <c r="F24" s="681" t="s">
        <v>192</v>
      </c>
      <c r="G24" s="682">
        <v>2</v>
      </c>
      <c r="H24" s="691">
        <v>850</v>
      </c>
      <c r="I24" s="635">
        <f>H24*0.925</f>
        <v>786.25</v>
      </c>
      <c r="J24" s="636"/>
      <c r="K24" s="637"/>
      <c r="L24" s="636"/>
      <c r="M24" s="637"/>
      <c r="N24" s="685" t="s">
        <v>1330</v>
      </c>
      <c r="O24" s="685" t="s">
        <v>672</v>
      </c>
      <c r="P24" s="266"/>
      <c r="Q24" s="266"/>
    </row>
    <row r="25" spans="1:17" ht="45.75" thickBot="1">
      <c r="A25" s="686">
        <v>12</v>
      </c>
      <c r="B25" s="687" t="s">
        <v>1339</v>
      </c>
      <c r="C25" s="694">
        <v>3000019483</v>
      </c>
      <c r="D25" s="464" t="s">
        <v>1340</v>
      </c>
      <c r="E25" s="680">
        <v>7627</v>
      </c>
      <c r="F25" s="681" t="s">
        <v>192</v>
      </c>
      <c r="G25" s="682">
        <v>1</v>
      </c>
      <c r="H25" s="691">
        <v>4995</v>
      </c>
      <c r="I25" s="635">
        <f>H25*0.925</f>
        <v>4620.375</v>
      </c>
      <c r="J25" s="636"/>
      <c r="K25" s="637"/>
      <c r="L25" s="636"/>
      <c r="M25" s="637"/>
      <c r="N25" s="685" t="s">
        <v>1330</v>
      </c>
      <c r="O25" s="685" t="s">
        <v>675</v>
      </c>
      <c r="P25" s="266"/>
      <c r="Q25" s="266"/>
    </row>
    <row r="26" spans="1:17" ht="60.75" thickBot="1">
      <c r="A26" s="645">
        <v>13</v>
      </c>
      <c r="B26" s="687" t="s">
        <v>1341</v>
      </c>
      <c r="C26" s="694">
        <v>3000019483</v>
      </c>
      <c r="D26" s="464" t="s">
        <v>1340</v>
      </c>
      <c r="E26" s="680">
        <v>5220</v>
      </c>
      <c r="F26" s="681" t="s">
        <v>192</v>
      </c>
      <c r="G26" s="682">
        <v>3</v>
      </c>
      <c r="H26" s="77">
        <v>3210</v>
      </c>
      <c r="I26" s="635">
        <f>H26*0.925</f>
        <v>2969.25</v>
      </c>
      <c r="J26" s="649"/>
      <c r="K26" s="650">
        <f>E28-I28</f>
        <v>25281.64</v>
      </c>
      <c r="L26" s="649"/>
      <c r="M26" s="650"/>
      <c r="N26" s="685" t="s">
        <v>1330</v>
      </c>
      <c r="O26" s="685" t="s">
        <v>680</v>
      </c>
      <c r="Q26" s="9" t="e">
        <f>SUM(#REF!)</f>
        <v>#REF!</v>
      </c>
    </row>
    <row r="27" spans="1:17" ht="15.75" thickBot="1">
      <c r="A27" s="645"/>
      <c r="B27" s="695"/>
      <c r="C27" s="647"/>
      <c r="D27" s="696"/>
      <c r="E27" s="697"/>
      <c r="F27" s="698"/>
      <c r="G27" s="699"/>
      <c r="H27" s="645"/>
      <c r="I27" s="700"/>
      <c r="J27" s="701"/>
      <c r="K27" s="702"/>
      <c r="L27" s="701"/>
      <c r="M27" s="702"/>
      <c r="N27" s="703"/>
      <c r="O27" s="703"/>
    </row>
    <row r="28" spans="1:17" s="7" customFormat="1" ht="13.5" thickBot="1">
      <c r="A28" s="90" t="s">
        <v>58</v>
      </c>
      <c r="B28" s="91"/>
      <c r="C28" s="92"/>
      <c r="D28" s="371"/>
      <c r="E28" s="373">
        <f>SUMPRODUCT(E14:E27, $G$14:$G$27)</f>
        <v>113911.87</v>
      </c>
      <c r="F28" s="93"/>
      <c r="G28" s="372">
        <f>SUM(G14:G27)</f>
        <v>29</v>
      </c>
      <c r="H28" s="373">
        <f>SUMPRODUCT(H14:H27, $G$14:$G$27)</f>
        <v>95610.48</v>
      </c>
      <c r="I28" s="373">
        <f>SUMPRODUCT(I14:I27, $G$14:$G$27)</f>
        <v>88630.23</v>
      </c>
      <c r="J28" s="373"/>
      <c r="K28" s="373"/>
      <c r="L28" s="373" t="e">
        <f xml:space="preserve"> SUMPRODUCT(L14:L26,#REF!)</f>
        <v>#REF!</v>
      </c>
      <c r="M28" s="373" t="e">
        <f xml:space="preserve"> SUMPRODUCT(M14:M26,#REF!)</f>
        <v>#REF!</v>
      </c>
      <c r="N28" s="432"/>
      <c r="O28" s="374"/>
      <c r="P28" s="373"/>
    </row>
    <row r="29" spans="1:17">
      <c r="A29" s="1860" t="s">
        <v>59</v>
      </c>
      <c r="B29" s="1861"/>
      <c r="C29" s="97"/>
      <c r="D29" s="375"/>
      <c r="E29" s="704"/>
      <c r="F29" s="97"/>
      <c r="G29" s="376"/>
      <c r="H29" s="379"/>
      <c r="I29" s="377"/>
      <c r="J29" s="379"/>
      <c r="K29" s="377"/>
      <c r="L29" s="379"/>
      <c r="M29" s="377"/>
      <c r="N29" s="651"/>
    </row>
    <row r="30" spans="1:17">
      <c r="A30" s="609" t="s">
        <v>60</v>
      </c>
      <c r="B30" s="610"/>
      <c r="C30" s="97"/>
      <c r="D30" s="375"/>
      <c r="E30" s="704"/>
      <c r="F30" s="97"/>
      <c r="G30" s="376"/>
      <c r="H30" s="382"/>
      <c r="I30" s="380" t="s">
        <v>61</v>
      </c>
      <c r="J30" s="382"/>
      <c r="K30" s="380"/>
      <c r="L30" s="382"/>
      <c r="M30" s="380" t="s">
        <v>61</v>
      </c>
      <c r="N30" s="651"/>
    </row>
    <row r="31" spans="1:17">
      <c r="A31" s="1862" t="s">
        <v>62</v>
      </c>
      <c r="B31" s="1863"/>
      <c r="C31" s="97"/>
      <c r="D31" s="375"/>
      <c r="E31" s="704"/>
      <c r="F31" s="97"/>
      <c r="G31" s="376"/>
      <c r="H31" s="382"/>
      <c r="I31" s="380"/>
      <c r="J31" s="382"/>
      <c r="K31" s="380"/>
      <c r="L31" s="382"/>
      <c r="M31" s="380"/>
    </row>
    <row r="32" spans="1:17" ht="12.95" customHeight="1">
      <c r="A32" s="107" t="s">
        <v>63</v>
      </c>
      <c r="B32" s="108"/>
      <c r="C32" s="108"/>
      <c r="D32" s="383"/>
      <c r="E32" s="705"/>
      <c r="F32" s="108"/>
      <c r="G32" s="109"/>
      <c r="H32" s="110">
        <v>0.125</v>
      </c>
      <c r="I32" s="110">
        <v>0.125</v>
      </c>
      <c r="J32" s="110"/>
      <c r="K32" s="110"/>
      <c r="L32" s="110"/>
      <c r="M32" s="110"/>
    </row>
    <row r="33" spans="1:14" ht="12.95" customHeight="1">
      <c r="A33" s="107"/>
      <c r="B33" s="108" t="s">
        <v>64</v>
      </c>
      <c r="C33" s="111"/>
      <c r="D33" s="383"/>
      <c r="E33" s="705"/>
      <c r="F33" s="111"/>
      <c r="G33" s="112"/>
      <c r="H33" s="386">
        <f>(H28+H29+H30+H31)*H32</f>
        <v>11951.31</v>
      </c>
      <c r="I33" s="384">
        <f>(I28+I29+I31)*I32</f>
        <v>11078.778749999999</v>
      </c>
      <c r="J33" s="386"/>
      <c r="K33" s="384"/>
      <c r="L33" s="386" t="e">
        <f>(L28+L29+L30+L31)*L32</f>
        <v>#REF!</v>
      </c>
      <c r="M33" s="384" t="e">
        <f>(M28+M29+M31)*M32</f>
        <v>#REF!</v>
      </c>
      <c r="N33" s="651"/>
    </row>
    <row r="34" spans="1:14">
      <c r="A34" s="1862" t="s">
        <v>65</v>
      </c>
      <c r="B34" s="1863"/>
      <c r="C34" s="111"/>
      <c r="D34" s="383"/>
      <c r="E34" s="705"/>
      <c r="F34" s="116"/>
      <c r="G34" s="117"/>
      <c r="H34" s="387"/>
      <c r="I34" s="387"/>
      <c r="J34" s="387"/>
      <c r="K34" s="387"/>
      <c r="L34" s="387"/>
      <c r="M34" s="387"/>
    </row>
    <row r="35" spans="1:14" ht="12.95" customHeight="1">
      <c r="A35" s="609"/>
      <c r="B35" s="610" t="s">
        <v>66</v>
      </c>
      <c r="C35" s="111"/>
      <c r="D35" s="383"/>
      <c r="E35" s="705"/>
      <c r="F35" s="116"/>
      <c r="G35" s="117"/>
      <c r="H35" s="386">
        <f>(H33+H29+H30+H31+H28)*H34</f>
        <v>0</v>
      </c>
      <c r="I35" s="384">
        <f>(I33+I29+I31+I28)*I34</f>
        <v>0</v>
      </c>
      <c r="J35" s="386"/>
      <c r="K35" s="384"/>
      <c r="L35" s="386" t="e">
        <f>(L33+L29+L30+L31+L28)*L34</f>
        <v>#REF!</v>
      </c>
      <c r="M35" s="384" t="e">
        <f>(M33+M29+M31+M28)*M34</f>
        <v>#REF!</v>
      </c>
    </row>
    <row r="36" spans="1:14" ht="12.95" customHeight="1">
      <c r="A36" s="609" t="s">
        <v>67</v>
      </c>
      <c r="B36" s="610"/>
      <c r="C36" s="111"/>
      <c r="D36" s="383"/>
      <c r="E36" s="705"/>
      <c r="F36" s="116"/>
      <c r="G36" s="117"/>
      <c r="H36" s="387">
        <v>0.02</v>
      </c>
      <c r="I36" s="387">
        <v>0.02</v>
      </c>
      <c r="J36" s="387"/>
      <c r="K36" s="387"/>
      <c r="L36" s="387">
        <v>0.02</v>
      </c>
      <c r="M36" s="387">
        <v>0.02</v>
      </c>
    </row>
    <row r="37" spans="1:14" ht="12.95" customHeight="1">
      <c r="A37" s="609"/>
      <c r="B37" s="610" t="s">
        <v>68</v>
      </c>
      <c r="C37" s="111"/>
      <c r="D37" s="383"/>
      <c r="E37" s="705"/>
      <c r="F37" s="116"/>
      <c r="G37" s="117"/>
      <c r="H37" s="386">
        <f>(H33+H29+H30+H31+H28)*H36</f>
        <v>2151.2357999999999</v>
      </c>
      <c r="I37" s="384">
        <f>(I33+I29+I31+I28)*I36</f>
        <v>1994.180175</v>
      </c>
      <c r="J37" s="386"/>
      <c r="K37" s="384"/>
      <c r="L37" s="386" t="e">
        <f>(L33+L29+L30+L31+L28)*L36</f>
        <v>#REF!</v>
      </c>
      <c r="M37" s="384" t="e">
        <f>(M33+M29+M31+M28)*M36</f>
        <v>#REF!</v>
      </c>
    </row>
    <row r="38" spans="1:14" ht="12.95" customHeight="1">
      <c r="A38" s="1862" t="s">
        <v>69</v>
      </c>
      <c r="B38" s="1863"/>
      <c r="C38" s="111"/>
      <c r="D38" s="383"/>
      <c r="E38" s="705"/>
      <c r="F38" s="120"/>
      <c r="G38" s="117"/>
      <c r="H38" s="389"/>
      <c r="I38" s="387"/>
      <c r="J38" s="389"/>
      <c r="K38" s="387"/>
      <c r="L38" s="389"/>
      <c r="M38" s="387"/>
    </row>
    <row r="39" spans="1:14" ht="12.95" customHeight="1">
      <c r="A39" s="611"/>
      <c r="B39" s="612" t="s">
        <v>70</v>
      </c>
      <c r="C39" s="124"/>
      <c r="D39" s="390"/>
      <c r="E39" s="706"/>
      <c r="F39" s="125"/>
      <c r="G39" s="126"/>
      <c r="H39" s="386">
        <f>H28*H38</f>
        <v>0</v>
      </c>
      <c r="I39" s="384">
        <f>I28*I38</f>
        <v>0</v>
      </c>
      <c r="J39" s="386"/>
      <c r="K39" s="384"/>
      <c r="L39" s="386" t="e">
        <f>L28*L38</f>
        <v>#REF!</v>
      </c>
      <c r="M39" s="384" t="e">
        <f>M28*M38</f>
        <v>#REF!</v>
      </c>
    </row>
    <row r="40" spans="1:14" ht="13.5" thickBot="1">
      <c r="A40" s="1864"/>
      <c r="B40" s="1865"/>
      <c r="C40" s="124"/>
      <c r="D40" s="390"/>
      <c r="E40" s="706"/>
      <c r="F40" s="124"/>
      <c r="G40" s="391"/>
      <c r="H40" s="394"/>
      <c r="I40" s="392"/>
      <c r="J40" s="394"/>
      <c r="K40" s="392"/>
      <c r="L40" s="394"/>
      <c r="M40" s="392"/>
    </row>
    <row r="41" spans="1:14" ht="13.5" thickBot="1">
      <c r="A41" s="131" t="s">
        <v>71</v>
      </c>
      <c r="B41" s="132"/>
      <c r="C41" s="132"/>
      <c r="D41" s="395"/>
      <c r="E41" s="395"/>
      <c r="F41" s="132"/>
      <c r="G41" s="133"/>
      <c r="H41" s="134">
        <f>SUM(H28,H29,H31,H33,H35)</f>
        <v>107561.79</v>
      </c>
      <c r="I41" s="135">
        <f>SUM(I28:I40)</f>
        <v>101703.333925</v>
      </c>
      <c r="J41" s="134"/>
      <c r="K41" s="135"/>
      <c r="L41" s="134" t="e">
        <f>SUM(L28,L29,L31,L33,L35)</f>
        <v>#REF!</v>
      </c>
      <c r="M41" s="135" t="e">
        <f>SUM(M28:M40)</f>
        <v>#REF!</v>
      </c>
    </row>
    <row r="42" spans="1:14" s="142" customFormat="1" ht="13.5" thickBot="1">
      <c r="A42" s="137"/>
      <c r="B42" s="138"/>
      <c r="C42" s="138"/>
      <c r="D42" s="396"/>
      <c r="E42" s="396"/>
      <c r="F42" s="138"/>
      <c r="G42" s="138"/>
      <c r="H42" s="139"/>
      <c r="I42" s="140"/>
      <c r="J42" s="139"/>
      <c r="K42" s="140"/>
      <c r="L42" s="139"/>
      <c r="M42" s="140"/>
    </row>
    <row r="43" spans="1:14" s="7" customFormat="1" ht="13.5" thickBot="1">
      <c r="A43" s="131" t="s">
        <v>72</v>
      </c>
      <c r="B43" s="132"/>
      <c r="C43" s="132"/>
      <c r="D43" s="395"/>
      <c r="E43" s="395"/>
      <c r="F43" s="132"/>
      <c r="G43" s="133"/>
      <c r="H43" s="135">
        <f>H28+H37+H29</f>
        <v>97761.715799999991</v>
      </c>
      <c r="I43" s="135">
        <f>I28+I37+I29</f>
        <v>90624.410174999997</v>
      </c>
      <c r="J43" s="135"/>
      <c r="K43" s="135"/>
      <c r="L43" s="135" t="e">
        <f>L28+L37+L29</f>
        <v>#REF!</v>
      </c>
      <c r="M43" s="135" t="e">
        <f>M28+M37+M29</f>
        <v>#REF!</v>
      </c>
    </row>
    <row r="44" spans="1:14" ht="13.5" thickBot="1">
      <c r="A44" s="145"/>
      <c r="B44" s="146" t="s">
        <v>1305</v>
      </c>
      <c r="C44" s="147"/>
      <c r="D44" s="146"/>
      <c r="E44" s="707"/>
      <c r="F44" s="147"/>
      <c r="G44" s="397"/>
      <c r="H44" s="308"/>
      <c r="I44" s="475"/>
      <c r="J44" s="308"/>
      <c r="K44" s="475"/>
      <c r="L44" s="308"/>
      <c r="M44" s="475"/>
    </row>
    <row r="45" spans="1:14">
      <c r="A45" s="155" t="s">
        <v>73</v>
      </c>
      <c r="B45" s="156" t="s">
        <v>74</v>
      </c>
      <c r="C45" s="157"/>
      <c r="D45" s="398"/>
      <c r="E45" s="708"/>
      <c r="F45" s="157"/>
      <c r="G45" s="399"/>
      <c r="H45" s="159" t="s">
        <v>392</v>
      </c>
      <c r="I45" s="159" t="s">
        <v>392</v>
      </c>
      <c r="J45" s="159" t="s">
        <v>392</v>
      </c>
      <c r="K45" s="159" t="s">
        <v>392</v>
      </c>
      <c r="L45" s="159" t="s">
        <v>392</v>
      </c>
      <c r="M45" s="159" t="s">
        <v>392</v>
      </c>
    </row>
    <row r="46" spans="1:14" ht="13.5" thickBot="1">
      <c r="A46" s="164" t="s">
        <v>79</v>
      </c>
      <c r="B46" s="165" t="s">
        <v>80</v>
      </c>
      <c r="C46" s="166"/>
      <c r="D46" s="400"/>
      <c r="E46" s="709"/>
      <c r="F46" s="166"/>
      <c r="G46" s="401"/>
      <c r="H46" s="476" t="s">
        <v>82</v>
      </c>
      <c r="I46" s="476" t="s">
        <v>82</v>
      </c>
      <c r="J46" s="476" t="s">
        <v>82</v>
      </c>
      <c r="K46" s="476" t="s">
        <v>82</v>
      </c>
      <c r="L46" s="476" t="s">
        <v>82</v>
      </c>
      <c r="M46" s="476" t="s">
        <v>82</v>
      </c>
    </row>
    <row r="47" spans="1:14" ht="65.25" customHeight="1">
      <c r="A47" s="173" t="s">
        <v>85</v>
      </c>
      <c r="B47" s="174" t="s">
        <v>86</v>
      </c>
      <c r="C47" s="175"/>
      <c r="D47" s="174"/>
      <c r="E47" s="710"/>
      <c r="F47" s="175"/>
      <c r="G47" s="402"/>
      <c r="H47" s="180" t="s">
        <v>350</v>
      </c>
      <c r="I47" s="180" t="s">
        <v>394</v>
      </c>
      <c r="J47" s="180" t="s">
        <v>281</v>
      </c>
      <c r="K47" s="180" t="s">
        <v>1308</v>
      </c>
      <c r="L47" s="180" t="s">
        <v>281</v>
      </c>
      <c r="M47" s="180" t="s">
        <v>1308</v>
      </c>
    </row>
    <row r="48" spans="1:14">
      <c r="A48" s="181" t="s">
        <v>90</v>
      </c>
      <c r="B48" s="175" t="s">
        <v>91</v>
      </c>
      <c r="C48" s="175"/>
      <c r="D48" s="174"/>
      <c r="E48" s="710"/>
      <c r="F48" s="175"/>
      <c r="G48" s="402"/>
      <c r="H48" s="188" t="s">
        <v>351</v>
      </c>
      <c r="I48" s="188" t="s">
        <v>351</v>
      </c>
      <c r="J48" s="188" t="s">
        <v>351</v>
      </c>
      <c r="K48" s="188" t="s">
        <v>351</v>
      </c>
      <c r="L48" s="188" t="s">
        <v>351</v>
      </c>
      <c r="M48" s="188" t="s">
        <v>351</v>
      </c>
    </row>
    <row r="49" spans="1:17" ht="39.950000000000003" customHeight="1">
      <c r="A49" s="181" t="s">
        <v>93</v>
      </c>
      <c r="B49" s="174" t="s">
        <v>94</v>
      </c>
      <c r="C49" s="175"/>
      <c r="D49" s="174"/>
      <c r="E49" s="710"/>
      <c r="F49" s="175"/>
      <c r="G49" s="402"/>
      <c r="H49" s="478" t="s">
        <v>332</v>
      </c>
      <c r="I49" s="479" t="s">
        <v>332</v>
      </c>
      <c r="J49" s="478" t="s">
        <v>332</v>
      </c>
      <c r="K49" s="479" t="s">
        <v>332</v>
      </c>
      <c r="L49" s="478" t="s">
        <v>332</v>
      </c>
      <c r="M49" s="479" t="s">
        <v>332</v>
      </c>
    </row>
    <row r="50" spans="1:17" ht="140.25">
      <c r="A50" s="181" t="s">
        <v>95</v>
      </c>
      <c r="B50" s="174" t="s">
        <v>96</v>
      </c>
      <c r="C50" s="175"/>
      <c r="D50" s="174"/>
      <c r="E50" s="710"/>
      <c r="F50" s="175"/>
      <c r="G50" s="402"/>
      <c r="H50" s="180" t="s">
        <v>97</v>
      </c>
      <c r="I50" s="180" t="s">
        <v>98</v>
      </c>
      <c r="J50" s="180" t="s">
        <v>97</v>
      </c>
      <c r="K50" s="180" t="s">
        <v>98</v>
      </c>
      <c r="L50" s="180" t="s">
        <v>97</v>
      </c>
      <c r="M50" s="180" t="s">
        <v>98</v>
      </c>
    </row>
    <row r="51" spans="1:17" ht="64.5" thickBot="1">
      <c r="A51" s="189" t="s">
        <v>99</v>
      </c>
      <c r="B51" s="190" t="s">
        <v>100</v>
      </c>
      <c r="C51" s="191"/>
      <c r="D51" s="190"/>
      <c r="E51" s="711"/>
      <c r="F51" s="191"/>
      <c r="G51" s="403"/>
      <c r="H51" s="477" t="s">
        <v>101</v>
      </c>
      <c r="I51" s="652" t="s">
        <v>101</v>
      </c>
      <c r="J51" s="652" t="s">
        <v>101</v>
      </c>
      <c r="K51" s="652" t="s">
        <v>101</v>
      </c>
      <c r="L51" s="652" t="s">
        <v>101</v>
      </c>
      <c r="M51" s="652" t="s">
        <v>101</v>
      </c>
    </row>
    <row r="52" spans="1:17" ht="30" customHeight="1">
      <c r="A52" s="1866" t="s">
        <v>102</v>
      </c>
      <c r="B52" s="1867"/>
      <c r="C52" s="1971"/>
      <c r="D52" s="405"/>
      <c r="E52" s="405"/>
      <c r="F52" s="1858" t="s">
        <v>103</v>
      </c>
      <c r="G52" s="1859"/>
      <c r="H52" s="1966"/>
      <c r="I52" s="1856" t="s">
        <v>104</v>
      </c>
      <c r="J52" s="1857"/>
      <c r="K52" s="1967"/>
      <c r="L52" s="608"/>
      <c r="M52" s="608"/>
    </row>
    <row r="53" spans="1:17" ht="13.5" thickBot="1">
      <c r="A53" s="1866"/>
      <c r="B53" s="1867"/>
      <c r="C53" s="1971"/>
      <c r="D53" s="405"/>
      <c r="E53" s="405"/>
      <c r="F53" s="1858"/>
      <c r="G53" s="1859"/>
      <c r="H53" s="1966"/>
      <c r="I53" s="1968"/>
      <c r="J53" s="1969"/>
      <c r="K53" s="1970"/>
      <c r="L53" s="608"/>
      <c r="M53" s="608"/>
    </row>
    <row r="54" spans="1:17">
      <c r="A54" s="149"/>
      <c r="B54" s="197"/>
      <c r="C54" s="152"/>
      <c r="D54" s="197"/>
      <c r="E54" s="712"/>
      <c r="F54" s="152"/>
      <c r="G54" s="406"/>
      <c r="H54" s="152"/>
      <c r="I54" s="152"/>
      <c r="J54" s="152"/>
      <c r="K54" s="152"/>
      <c r="L54" s="202"/>
      <c r="M54" s="202"/>
    </row>
    <row r="55" spans="1:17">
      <c r="A55" s="200"/>
      <c r="B55" s="201"/>
      <c r="C55" s="202"/>
      <c r="D55" s="201"/>
      <c r="E55" s="27"/>
      <c r="F55" s="202"/>
      <c r="G55" s="407"/>
      <c r="H55" s="202"/>
      <c r="I55" s="202"/>
      <c r="J55" s="202"/>
      <c r="K55" s="202"/>
      <c r="L55" s="202"/>
      <c r="M55" s="202"/>
    </row>
    <row r="56" spans="1:17">
      <c r="A56" s="200"/>
      <c r="B56" s="27" t="s">
        <v>105</v>
      </c>
      <c r="C56" s="28"/>
      <c r="D56" s="27"/>
      <c r="E56" s="27"/>
      <c r="F56" s="28"/>
      <c r="G56" s="28" t="s">
        <v>106</v>
      </c>
      <c r="H56" s="28"/>
      <c r="I56" s="28"/>
      <c r="J56" s="28" t="s">
        <v>107</v>
      </c>
      <c r="K56" s="202"/>
      <c r="L56" s="202"/>
      <c r="M56" s="202"/>
    </row>
    <row r="57" spans="1:17" ht="13.5" thickBot="1">
      <c r="A57" s="205"/>
      <c r="B57" s="206"/>
      <c r="C57" s="207"/>
      <c r="D57" s="206"/>
      <c r="E57" s="713"/>
      <c r="F57" s="207"/>
      <c r="G57" s="207"/>
      <c r="H57" s="207"/>
      <c r="I57" s="207"/>
      <c r="J57" s="207"/>
      <c r="K57" s="207"/>
      <c r="L57" s="202"/>
      <c r="M57" s="202"/>
    </row>
    <row r="58" spans="1:17">
      <c r="B58" s="209" t="s">
        <v>1309</v>
      </c>
      <c r="C58" s="9" t="s">
        <v>1154</v>
      </c>
      <c r="D58" s="209" t="s">
        <v>1310</v>
      </c>
      <c r="F58" s="9" t="s">
        <v>35</v>
      </c>
      <c r="G58" s="9" t="s">
        <v>1311</v>
      </c>
    </row>
    <row r="59" spans="1:17" ht="25.5">
      <c r="A59" s="653">
        <v>8</v>
      </c>
      <c r="B59" s="654" t="s">
        <v>1312</v>
      </c>
      <c r="C59" s="655">
        <v>1100017516</v>
      </c>
      <c r="D59" s="468">
        <v>10</v>
      </c>
      <c r="E59" s="468"/>
      <c r="F59" s="277" t="s">
        <v>1313</v>
      </c>
      <c r="G59" s="656">
        <v>4</v>
      </c>
      <c r="H59" s="657"/>
      <c r="I59" s="460"/>
      <c r="J59" s="461"/>
      <c r="K59" s="422"/>
      <c r="L59" s="658"/>
      <c r="M59" s="658"/>
      <c r="N59" s="659"/>
      <c r="O59" s="659"/>
      <c r="P59" s="266"/>
      <c r="Q59" s="266"/>
    </row>
    <row r="60" spans="1:17" ht="63.75">
      <c r="A60" s="653">
        <v>9</v>
      </c>
      <c r="B60" s="654" t="s">
        <v>1314</v>
      </c>
      <c r="C60" s="655">
        <v>1100017483</v>
      </c>
      <c r="D60" s="468">
        <v>10</v>
      </c>
      <c r="E60" s="468"/>
      <c r="F60" s="235" t="s">
        <v>192</v>
      </c>
      <c r="G60" s="656">
        <v>4</v>
      </c>
      <c r="H60" s="657"/>
      <c r="I60" s="460"/>
      <c r="J60" s="461"/>
      <c r="K60" s="422"/>
      <c r="L60" s="658"/>
      <c r="M60" s="658"/>
      <c r="N60" s="659">
        <v>1100017063</v>
      </c>
      <c r="O60" s="659">
        <v>30</v>
      </c>
      <c r="P60" s="266"/>
      <c r="Q60" s="266"/>
    </row>
    <row r="61" spans="1:17" ht="15">
      <c r="A61" s="653">
        <v>10</v>
      </c>
      <c r="B61" s="660" t="s">
        <v>1315</v>
      </c>
      <c r="C61" s="655">
        <v>1100017402</v>
      </c>
      <c r="D61" s="468">
        <v>10</v>
      </c>
      <c r="E61" s="468"/>
      <c r="F61" s="235" t="s">
        <v>192</v>
      </c>
      <c r="G61" s="656">
        <v>30</v>
      </c>
      <c r="H61" s="657"/>
      <c r="I61" s="460"/>
      <c r="J61" s="461"/>
      <c r="K61" s="422"/>
      <c r="L61" s="658"/>
      <c r="M61" s="658"/>
      <c r="N61" s="659">
        <v>1100017063</v>
      </c>
      <c r="O61" s="659">
        <v>20</v>
      </c>
      <c r="P61" s="266"/>
      <c r="Q61" s="266"/>
    </row>
    <row r="62" spans="1:17" ht="15">
      <c r="A62" s="653">
        <v>11</v>
      </c>
      <c r="B62" s="660" t="s">
        <v>1316</v>
      </c>
      <c r="C62" s="661">
        <v>1100017402</v>
      </c>
      <c r="D62" s="468">
        <v>40</v>
      </c>
      <c r="E62" s="468"/>
      <c r="F62" s="235" t="s">
        <v>192</v>
      </c>
      <c r="G62" s="662">
        <v>15</v>
      </c>
      <c r="H62" s="657"/>
      <c r="I62" s="460"/>
      <c r="J62" s="461"/>
      <c r="K62" s="422"/>
      <c r="L62" s="658"/>
      <c r="M62" s="658"/>
      <c r="N62" s="659">
        <v>1100017063</v>
      </c>
      <c r="O62" s="659">
        <v>30</v>
      </c>
      <c r="P62" s="266"/>
      <c r="Q62" s="266"/>
    </row>
  </sheetData>
  <mergeCells count="29">
    <mergeCell ref="A2:K2"/>
    <mergeCell ref="A3:K3"/>
    <mergeCell ref="G4:G5"/>
    <mergeCell ref="A7:A12"/>
    <mergeCell ref="B7:B12"/>
    <mergeCell ref="C7:C12"/>
    <mergeCell ref="F7:F12"/>
    <mergeCell ref="G7:G12"/>
    <mergeCell ref="H7:I7"/>
    <mergeCell ref="J7:K7"/>
    <mergeCell ref="A29:B29"/>
    <mergeCell ref="A31:B31"/>
    <mergeCell ref="L7:M7"/>
    <mergeCell ref="J8:K9"/>
    <mergeCell ref="L8:M9"/>
    <mergeCell ref="H9:I9"/>
    <mergeCell ref="H10:I10"/>
    <mergeCell ref="J10:K10"/>
    <mergeCell ref="L10:M10"/>
    <mergeCell ref="I52:K53"/>
    <mergeCell ref="P10:Q10"/>
    <mergeCell ref="H11:I11"/>
    <mergeCell ref="J11:K11"/>
    <mergeCell ref="L11:M11"/>
    <mergeCell ref="A34:B34"/>
    <mergeCell ref="A38:B38"/>
    <mergeCell ref="A40:B40"/>
    <mergeCell ref="A52:C53"/>
    <mergeCell ref="F52:H53"/>
  </mergeCells>
  <pageMargins left="0.25" right="0.25" top="0.75" bottom="0.75" header="0.3" footer="0.3"/>
  <pageSetup scale="50"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E15"/>
  <sheetViews>
    <sheetView workbookViewId="0">
      <selection activeCell="H7" sqref="H7"/>
    </sheetView>
  </sheetViews>
  <sheetFormatPr defaultRowHeight="15"/>
  <cols>
    <col min="5" max="5" width="65.140625" customWidth="1"/>
  </cols>
  <sheetData>
    <row r="2" spans="4:5" ht="30">
      <c r="D2" s="211" t="s">
        <v>1351</v>
      </c>
      <c r="E2" s="594" t="s">
        <v>1343</v>
      </c>
    </row>
    <row r="3" spans="4:5">
      <c r="D3" s="212"/>
      <c r="E3" s="212" t="s">
        <v>1342</v>
      </c>
    </row>
    <row r="4" spans="4:5">
      <c r="D4" s="714">
        <v>1</v>
      </c>
      <c r="E4" s="212" t="s">
        <v>1344</v>
      </c>
    </row>
    <row r="5" spans="4:5">
      <c r="D5" s="714">
        <v>2</v>
      </c>
      <c r="E5" s="212" t="s">
        <v>1345</v>
      </c>
    </row>
    <row r="6" spans="4:5">
      <c r="D6" s="714">
        <v>3</v>
      </c>
      <c r="E6" s="212" t="s">
        <v>1346</v>
      </c>
    </row>
    <row r="7" spans="4:5">
      <c r="D7" s="714">
        <v>4</v>
      </c>
      <c r="E7" s="212" t="s">
        <v>1347</v>
      </c>
    </row>
    <row r="8" spans="4:5">
      <c r="D8" s="714">
        <v>5</v>
      </c>
      <c r="E8" s="212" t="s">
        <v>1353</v>
      </c>
    </row>
    <row r="9" spans="4:5">
      <c r="D9" s="714">
        <v>6</v>
      </c>
      <c r="E9" s="212" t="s">
        <v>1348</v>
      </c>
    </row>
    <row r="10" spans="4:5">
      <c r="D10" s="714">
        <v>7</v>
      </c>
      <c r="E10" s="212" t="s">
        <v>1349</v>
      </c>
    </row>
    <row r="11" spans="4:5">
      <c r="D11" s="714">
        <v>8</v>
      </c>
      <c r="E11" s="212" t="s">
        <v>1350</v>
      </c>
    </row>
    <row r="12" spans="4:5">
      <c r="D12" s="714">
        <v>9</v>
      </c>
      <c r="E12" s="212" t="s">
        <v>1352</v>
      </c>
    </row>
    <row r="13" spans="4:5" ht="75">
      <c r="D13" s="715">
        <v>10</v>
      </c>
      <c r="E13" s="715" t="s">
        <v>1354</v>
      </c>
    </row>
    <row r="14" spans="4:5" ht="45">
      <c r="D14" s="715">
        <v>11</v>
      </c>
      <c r="E14" s="715" t="s">
        <v>1355</v>
      </c>
    </row>
    <row r="15" spans="4:5" ht="30">
      <c r="D15" s="716">
        <v>12</v>
      </c>
      <c r="E15" s="715" t="s">
        <v>1356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
  <sheetViews>
    <sheetView topLeftCell="A7" zoomScaleNormal="100" workbookViewId="0">
      <selection activeCell="N7" sqref="N7:O7"/>
    </sheetView>
  </sheetViews>
  <sheetFormatPr defaultRowHeight="12.75"/>
  <cols>
    <col min="1" max="1" width="6.140625" style="956" customWidth="1"/>
    <col min="2" max="2" width="37.28515625" style="973" customWidth="1"/>
    <col min="3" max="3" width="13.5703125" style="956" customWidth="1"/>
    <col min="4" max="4" width="12.42578125" style="956" customWidth="1"/>
    <col min="5" max="5" width="9.85546875" style="973" customWidth="1"/>
    <col min="6" max="6" width="6.140625" style="956" customWidth="1"/>
    <col min="7" max="7" width="5.42578125" style="956" customWidth="1"/>
    <col min="8" max="8" width="14.140625" style="956" customWidth="1"/>
    <col min="9" max="9" width="11.85546875" style="956" customWidth="1"/>
    <col min="10" max="10" width="12.5703125" style="956" customWidth="1"/>
    <col min="11" max="19" width="11.7109375" style="956" customWidth="1"/>
    <col min="20" max="20" width="12.42578125" style="956" bestFit="1" customWidth="1"/>
    <col min="21" max="21" width="8.85546875" style="956" bestFit="1" customWidth="1"/>
    <col min="22" max="22" width="12.42578125" style="956" hidden="1" customWidth="1"/>
    <col min="23" max="23" width="14.28515625" style="956" hidden="1" customWidth="1"/>
    <col min="24" max="24" width="11.42578125" style="956" bestFit="1" customWidth="1"/>
    <col min="25" max="25" width="11.85546875" style="956" bestFit="1" customWidth="1"/>
    <col min="26" max="26" width="11.5703125" style="956" bestFit="1" customWidth="1"/>
    <col min="27" max="260" width="9.140625" style="956"/>
    <col min="261" max="261" width="4" style="956" customWidth="1"/>
    <col min="262" max="262" width="30.7109375" style="956" customWidth="1"/>
    <col min="263" max="264" width="10" style="956" customWidth="1"/>
    <col min="265" max="265" width="9.85546875" style="956" customWidth="1"/>
    <col min="266" max="266" width="12.42578125" style="956" customWidth="1"/>
    <col min="267" max="272" width="12.7109375" style="956" customWidth="1"/>
    <col min="273" max="273" width="13" style="956" customWidth="1"/>
    <col min="274" max="275" width="12.7109375" style="956" customWidth="1"/>
    <col min="276" max="276" width="9.140625" style="956"/>
    <col min="277" max="277" width="11.140625" style="956" bestFit="1" customWidth="1"/>
    <col min="278" max="516" width="9.140625" style="956"/>
    <col min="517" max="517" width="4" style="956" customWidth="1"/>
    <col min="518" max="518" width="30.7109375" style="956" customWidth="1"/>
    <col min="519" max="520" width="10" style="956" customWidth="1"/>
    <col min="521" max="521" width="9.85546875" style="956" customWidth="1"/>
    <col min="522" max="522" width="12.42578125" style="956" customWidth="1"/>
    <col min="523" max="528" width="12.7109375" style="956" customWidth="1"/>
    <col min="529" max="529" width="13" style="956" customWidth="1"/>
    <col min="530" max="531" width="12.7109375" style="956" customWidth="1"/>
    <col min="532" max="532" width="9.140625" style="956"/>
    <col min="533" max="533" width="11.140625" style="956" bestFit="1" customWidth="1"/>
    <col min="534" max="772" width="9.140625" style="956"/>
    <col min="773" max="773" width="4" style="956" customWidth="1"/>
    <col min="774" max="774" width="30.7109375" style="956" customWidth="1"/>
    <col min="775" max="776" width="10" style="956" customWidth="1"/>
    <col min="777" max="777" width="9.85546875" style="956" customWidth="1"/>
    <col min="778" max="778" width="12.42578125" style="956" customWidth="1"/>
    <col min="779" max="784" width="12.7109375" style="956" customWidth="1"/>
    <col min="785" max="785" width="13" style="956" customWidth="1"/>
    <col min="786" max="787" width="12.7109375" style="956" customWidth="1"/>
    <col min="788" max="788" width="9.140625" style="956"/>
    <col min="789" max="789" width="11.140625" style="956" bestFit="1" customWidth="1"/>
    <col min="790" max="1028" width="9.140625" style="956"/>
    <col min="1029" max="1029" width="4" style="956" customWidth="1"/>
    <col min="1030" max="1030" width="30.7109375" style="956" customWidth="1"/>
    <col min="1031" max="1032" width="10" style="956" customWidth="1"/>
    <col min="1033" max="1033" width="9.85546875" style="956" customWidth="1"/>
    <col min="1034" max="1034" width="12.42578125" style="956" customWidth="1"/>
    <col min="1035" max="1040" width="12.7109375" style="956" customWidth="1"/>
    <col min="1041" max="1041" width="13" style="956" customWidth="1"/>
    <col min="1042" max="1043" width="12.7109375" style="956" customWidth="1"/>
    <col min="1044" max="1044" width="9.140625" style="956"/>
    <col min="1045" max="1045" width="11.140625" style="956" bestFit="1" customWidth="1"/>
    <col min="1046" max="1284" width="9.140625" style="956"/>
    <col min="1285" max="1285" width="4" style="956" customWidth="1"/>
    <col min="1286" max="1286" width="30.7109375" style="956" customWidth="1"/>
    <col min="1287" max="1288" width="10" style="956" customWidth="1"/>
    <col min="1289" max="1289" width="9.85546875" style="956" customWidth="1"/>
    <col min="1290" max="1290" width="12.42578125" style="956" customWidth="1"/>
    <col min="1291" max="1296" width="12.7109375" style="956" customWidth="1"/>
    <col min="1297" max="1297" width="13" style="956" customWidth="1"/>
    <col min="1298" max="1299" width="12.7109375" style="956" customWidth="1"/>
    <col min="1300" max="1300" width="9.140625" style="956"/>
    <col min="1301" max="1301" width="11.140625" style="956" bestFit="1" customWidth="1"/>
    <col min="1302" max="1540" width="9.140625" style="956"/>
    <col min="1541" max="1541" width="4" style="956" customWidth="1"/>
    <col min="1542" max="1542" width="30.7109375" style="956" customWidth="1"/>
    <col min="1543" max="1544" width="10" style="956" customWidth="1"/>
    <col min="1545" max="1545" width="9.85546875" style="956" customWidth="1"/>
    <col min="1546" max="1546" width="12.42578125" style="956" customWidth="1"/>
    <col min="1547" max="1552" width="12.7109375" style="956" customWidth="1"/>
    <col min="1553" max="1553" width="13" style="956" customWidth="1"/>
    <col min="1554" max="1555" width="12.7109375" style="956" customWidth="1"/>
    <col min="1556" max="1556" width="9.140625" style="956"/>
    <col min="1557" max="1557" width="11.140625" style="956" bestFit="1" customWidth="1"/>
    <col min="1558" max="1796" width="9.140625" style="956"/>
    <col min="1797" max="1797" width="4" style="956" customWidth="1"/>
    <col min="1798" max="1798" width="30.7109375" style="956" customWidth="1"/>
    <col min="1799" max="1800" width="10" style="956" customWidth="1"/>
    <col min="1801" max="1801" width="9.85546875" style="956" customWidth="1"/>
    <col min="1802" max="1802" width="12.42578125" style="956" customWidth="1"/>
    <col min="1803" max="1808" width="12.7109375" style="956" customWidth="1"/>
    <col min="1809" max="1809" width="13" style="956" customWidth="1"/>
    <col min="1810" max="1811" width="12.7109375" style="956" customWidth="1"/>
    <col min="1812" max="1812" width="9.140625" style="956"/>
    <col min="1813" max="1813" width="11.140625" style="956" bestFit="1" customWidth="1"/>
    <col min="1814" max="2052" width="9.140625" style="956"/>
    <col min="2053" max="2053" width="4" style="956" customWidth="1"/>
    <col min="2054" max="2054" width="30.7109375" style="956" customWidth="1"/>
    <col min="2055" max="2056" width="10" style="956" customWidth="1"/>
    <col min="2057" max="2057" width="9.85546875" style="956" customWidth="1"/>
    <col min="2058" max="2058" width="12.42578125" style="956" customWidth="1"/>
    <col min="2059" max="2064" width="12.7109375" style="956" customWidth="1"/>
    <col min="2065" max="2065" width="13" style="956" customWidth="1"/>
    <col min="2066" max="2067" width="12.7109375" style="956" customWidth="1"/>
    <col min="2068" max="2068" width="9.140625" style="956"/>
    <col min="2069" max="2069" width="11.140625" style="956" bestFit="1" customWidth="1"/>
    <col min="2070" max="2308" width="9.140625" style="956"/>
    <col min="2309" max="2309" width="4" style="956" customWidth="1"/>
    <col min="2310" max="2310" width="30.7109375" style="956" customWidth="1"/>
    <col min="2311" max="2312" width="10" style="956" customWidth="1"/>
    <col min="2313" max="2313" width="9.85546875" style="956" customWidth="1"/>
    <col min="2314" max="2314" width="12.42578125" style="956" customWidth="1"/>
    <col min="2315" max="2320" width="12.7109375" style="956" customWidth="1"/>
    <col min="2321" max="2321" width="13" style="956" customWidth="1"/>
    <col min="2322" max="2323" width="12.7109375" style="956" customWidth="1"/>
    <col min="2324" max="2324" width="9.140625" style="956"/>
    <col min="2325" max="2325" width="11.140625" style="956" bestFit="1" customWidth="1"/>
    <col min="2326" max="2564" width="9.140625" style="956"/>
    <col min="2565" max="2565" width="4" style="956" customWidth="1"/>
    <col min="2566" max="2566" width="30.7109375" style="956" customWidth="1"/>
    <col min="2567" max="2568" width="10" style="956" customWidth="1"/>
    <col min="2569" max="2569" width="9.85546875" style="956" customWidth="1"/>
    <col min="2570" max="2570" width="12.42578125" style="956" customWidth="1"/>
    <col min="2571" max="2576" width="12.7109375" style="956" customWidth="1"/>
    <col min="2577" max="2577" width="13" style="956" customWidth="1"/>
    <col min="2578" max="2579" width="12.7109375" style="956" customWidth="1"/>
    <col min="2580" max="2580" width="9.140625" style="956"/>
    <col min="2581" max="2581" width="11.140625" style="956" bestFit="1" customWidth="1"/>
    <col min="2582" max="2820" width="9.140625" style="956"/>
    <col min="2821" max="2821" width="4" style="956" customWidth="1"/>
    <col min="2822" max="2822" width="30.7109375" style="956" customWidth="1"/>
    <col min="2823" max="2824" width="10" style="956" customWidth="1"/>
    <col min="2825" max="2825" width="9.85546875" style="956" customWidth="1"/>
    <col min="2826" max="2826" width="12.42578125" style="956" customWidth="1"/>
    <col min="2827" max="2832" width="12.7109375" style="956" customWidth="1"/>
    <col min="2833" max="2833" width="13" style="956" customWidth="1"/>
    <col min="2834" max="2835" width="12.7109375" style="956" customWidth="1"/>
    <col min="2836" max="2836" width="9.140625" style="956"/>
    <col min="2837" max="2837" width="11.140625" style="956" bestFit="1" customWidth="1"/>
    <col min="2838" max="3076" width="9.140625" style="956"/>
    <col min="3077" max="3077" width="4" style="956" customWidth="1"/>
    <col min="3078" max="3078" width="30.7109375" style="956" customWidth="1"/>
    <col min="3079" max="3080" width="10" style="956" customWidth="1"/>
    <col min="3081" max="3081" width="9.85546875" style="956" customWidth="1"/>
    <col min="3082" max="3082" width="12.42578125" style="956" customWidth="1"/>
    <col min="3083" max="3088" width="12.7109375" style="956" customWidth="1"/>
    <col min="3089" max="3089" width="13" style="956" customWidth="1"/>
    <col min="3090" max="3091" width="12.7109375" style="956" customWidth="1"/>
    <col min="3092" max="3092" width="9.140625" style="956"/>
    <col min="3093" max="3093" width="11.140625" style="956" bestFit="1" customWidth="1"/>
    <col min="3094" max="3332" width="9.140625" style="956"/>
    <col min="3333" max="3333" width="4" style="956" customWidth="1"/>
    <col min="3334" max="3334" width="30.7109375" style="956" customWidth="1"/>
    <col min="3335" max="3336" width="10" style="956" customWidth="1"/>
    <col min="3337" max="3337" width="9.85546875" style="956" customWidth="1"/>
    <col min="3338" max="3338" width="12.42578125" style="956" customWidth="1"/>
    <col min="3339" max="3344" width="12.7109375" style="956" customWidth="1"/>
    <col min="3345" max="3345" width="13" style="956" customWidth="1"/>
    <col min="3346" max="3347" width="12.7109375" style="956" customWidth="1"/>
    <col min="3348" max="3348" width="9.140625" style="956"/>
    <col min="3349" max="3349" width="11.140625" style="956" bestFit="1" customWidth="1"/>
    <col min="3350" max="3588" width="9.140625" style="956"/>
    <col min="3589" max="3589" width="4" style="956" customWidth="1"/>
    <col min="3590" max="3590" width="30.7109375" style="956" customWidth="1"/>
    <col min="3591" max="3592" width="10" style="956" customWidth="1"/>
    <col min="3593" max="3593" width="9.85546875" style="956" customWidth="1"/>
    <col min="3594" max="3594" width="12.42578125" style="956" customWidth="1"/>
    <col min="3595" max="3600" width="12.7109375" style="956" customWidth="1"/>
    <col min="3601" max="3601" width="13" style="956" customWidth="1"/>
    <col min="3602" max="3603" width="12.7109375" style="956" customWidth="1"/>
    <col min="3604" max="3604" width="9.140625" style="956"/>
    <col min="3605" max="3605" width="11.140625" style="956" bestFit="1" customWidth="1"/>
    <col min="3606" max="3844" width="9.140625" style="956"/>
    <col min="3845" max="3845" width="4" style="956" customWidth="1"/>
    <col min="3846" max="3846" width="30.7109375" style="956" customWidth="1"/>
    <col min="3847" max="3848" width="10" style="956" customWidth="1"/>
    <col min="3849" max="3849" width="9.85546875" style="956" customWidth="1"/>
    <col min="3850" max="3850" width="12.42578125" style="956" customWidth="1"/>
    <col min="3851" max="3856" width="12.7109375" style="956" customWidth="1"/>
    <col min="3857" max="3857" width="13" style="956" customWidth="1"/>
    <col min="3858" max="3859" width="12.7109375" style="956" customWidth="1"/>
    <col min="3860" max="3860" width="9.140625" style="956"/>
    <col min="3861" max="3861" width="11.140625" style="956" bestFit="1" customWidth="1"/>
    <col min="3862" max="4100" width="9.140625" style="956"/>
    <col min="4101" max="4101" width="4" style="956" customWidth="1"/>
    <col min="4102" max="4102" width="30.7109375" style="956" customWidth="1"/>
    <col min="4103" max="4104" width="10" style="956" customWidth="1"/>
    <col min="4105" max="4105" width="9.85546875" style="956" customWidth="1"/>
    <col min="4106" max="4106" width="12.42578125" style="956" customWidth="1"/>
    <col min="4107" max="4112" width="12.7109375" style="956" customWidth="1"/>
    <col min="4113" max="4113" width="13" style="956" customWidth="1"/>
    <col min="4114" max="4115" width="12.7109375" style="956" customWidth="1"/>
    <col min="4116" max="4116" width="9.140625" style="956"/>
    <col min="4117" max="4117" width="11.140625" style="956" bestFit="1" customWidth="1"/>
    <col min="4118" max="4356" width="9.140625" style="956"/>
    <col min="4357" max="4357" width="4" style="956" customWidth="1"/>
    <col min="4358" max="4358" width="30.7109375" style="956" customWidth="1"/>
    <col min="4359" max="4360" width="10" style="956" customWidth="1"/>
    <col min="4361" max="4361" width="9.85546875" style="956" customWidth="1"/>
    <col min="4362" max="4362" width="12.42578125" style="956" customWidth="1"/>
    <col min="4363" max="4368" width="12.7109375" style="956" customWidth="1"/>
    <col min="4369" max="4369" width="13" style="956" customWidth="1"/>
    <col min="4370" max="4371" width="12.7109375" style="956" customWidth="1"/>
    <col min="4372" max="4372" width="9.140625" style="956"/>
    <col min="4373" max="4373" width="11.140625" style="956" bestFit="1" customWidth="1"/>
    <col min="4374" max="4612" width="9.140625" style="956"/>
    <col min="4613" max="4613" width="4" style="956" customWidth="1"/>
    <col min="4614" max="4614" width="30.7109375" style="956" customWidth="1"/>
    <col min="4615" max="4616" width="10" style="956" customWidth="1"/>
    <col min="4617" max="4617" width="9.85546875" style="956" customWidth="1"/>
    <col min="4618" max="4618" width="12.42578125" style="956" customWidth="1"/>
    <col min="4619" max="4624" width="12.7109375" style="956" customWidth="1"/>
    <col min="4625" max="4625" width="13" style="956" customWidth="1"/>
    <col min="4626" max="4627" width="12.7109375" style="956" customWidth="1"/>
    <col min="4628" max="4628" width="9.140625" style="956"/>
    <col min="4629" max="4629" width="11.140625" style="956" bestFit="1" customWidth="1"/>
    <col min="4630" max="4868" width="9.140625" style="956"/>
    <col min="4869" max="4869" width="4" style="956" customWidth="1"/>
    <col min="4870" max="4870" width="30.7109375" style="956" customWidth="1"/>
    <col min="4871" max="4872" width="10" style="956" customWidth="1"/>
    <col min="4873" max="4873" width="9.85546875" style="956" customWidth="1"/>
    <col min="4874" max="4874" width="12.42578125" style="956" customWidth="1"/>
    <col min="4875" max="4880" width="12.7109375" style="956" customWidth="1"/>
    <col min="4881" max="4881" width="13" style="956" customWidth="1"/>
    <col min="4882" max="4883" width="12.7109375" style="956" customWidth="1"/>
    <col min="4884" max="4884" width="9.140625" style="956"/>
    <col min="4885" max="4885" width="11.140625" style="956" bestFit="1" customWidth="1"/>
    <col min="4886" max="5124" width="9.140625" style="956"/>
    <col min="5125" max="5125" width="4" style="956" customWidth="1"/>
    <col min="5126" max="5126" width="30.7109375" style="956" customWidth="1"/>
    <col min="5127" max="5128" width="10" style="956" customWidth="1"/>
    <col min="5129" max="5129" width="9.85546875" style="956" customWidth="1"/>
    <col min="5130" max="5130" width="12.42578125" style="956" customWidth="1"/>
    <col min="5131" max="5136" width="12.7109375" style="956" customWidth="1"/>
    <col min="5137" max="5137" width="13" style="956" customWidth="1"/>
    <col min="5138" max="5139" width="12.7109375" style="956" customWidth="1"/>
    <col min="5140" max="5140" width="9.140625" style="956"/>
    <col min="5141" max="5141" width="11.140625" style="956" bestFit="1" customWidth="1"/>
    <col min="5142" max="5380" width="9.140625" style="956"/>
    <col min="5381" max="5381" width="4" style="956" customWidth="1"/>
    <col min="5382" max="5382" width="30.7109375" style="956" customWidth="1"/>
    <col min="5383" max="5384" width="10" style="956" customWidth="1"/>
    <col min="5385" max="5385" width="9.85546875" style="956" customWidth="1"/>
    <col min="5386" max="5386" width="12.42578125" style="956" customWidth="1"/>
    <col min="5387" max="5392" width="12.7109375" style="956" customWidth="1"/>
    <col min="5393" max="5393" width="13" style="956" customWidth="1"/>
    <col min="5394" max="5395" width="12.7109375" style="956" customWidth="1"/>
    <col min="5396" max="5396" width="9.140625" style="956"/>
    <col min="5397" max="5397" width="11.140625" style="956" bestFit="1" customWidth="1"/>
    <col min="5398" max="5636" width="9.140625" style="956"/>
    <col min="5637" max="5637" width="4" style="956" customWidth="1"/>
    <col min="5638" max="5638" width="30.7109375" style="956" customWidth="1"/>
    <col min="5639" max="5640" width="10" style="956" customWidth="1"/>
    <col min="5641" max="5641" width="9.85546875" style="956" customWidth="1"/>
    <col min="5642" max="5642" width="12.42578125" style="956" customWidth="1"/>
    <col min="5643" max="5648" width="12.7109375" style="956" customWidth="1"/>
    <col min="5649" max="5649" width="13" style="956" customWidth="1"/>
    <col min="5650" max="5651" width="12.7109375" style="956" customWidth="1"/>
    <col min="5652" max="5652" width="9.140625" style="956"/>
    <col min="5653" max="5653" width="11.140625" style="956" bestFit="1" customWidth="1"/>
    <col min="5654" max="5892" width="9.140625" style="956"/>
    <col min="5893" max="5893" width="4" style="956" customWidth="1"/>
    <col min="5894" max="5894" width="30.7109375" style="956" customWidth="1"/>
    <col min="5895" max="5896" width="10" style="956" customWidth="1"/>
    <col min="5897" max="5897" width="9.85546875" style="956" customWidth="1"/>
    <col min="5898" max="5898" width="12.42578125" style="956" customWidth="1"/>
    <col min="5899" max="5904" width="12.7109375" style="956" customWidth="1"/>
    <col min="5905" max="5905" width="13" style="956" customWidth="1"/>
    <col min="5906" max="5907" width="12.7109375" style="956" customWidth="1"/>
    <col min="5908" max="5908" width="9.140625" style="956"/>
    <col min="5909" max="5909" width="11.140625" style="956" bestFit="1" customWidth="1"/>
    <col min="5910" max="6148" width="9.140625" style="956"/>
    <col min="6149" max="6149" width="4" style="956" customWidth="1"/>
    <col min="6150" max="6150" width="30.7109375" style="956" customWidth="1"/>
    <col min="6151" max="6152" width="10" style="956" customWidth="1"/>
    <col min="6153" max="6153" width="9.85546875" style="956" customWidth="1"/>
    <col min="6154" max="6154" width="12.42578125" style="956" customWidth="1"/>
    <col min="6155" max="6160" width="12.7109375" style="956" customWidth="1"/>
    <col min="6161" max="6161" width="13" style="956" customWidth="1"/>
    <col min="6162" max="6163" width="12.7109375" style="956" customWidth="1"/>
    <col min="6164" max="6164" width="9.140625" style="956"/>
    <col min="6165" max="6165" width="11.140625" style="956" bestFit="1" customWidth="1"/>
    <col min="6166" max="6404" width="9.140625" style="956"/>
    <col min="6405" max="6405" width="4" style="956" customWidth="1"/>
    <col min="6406" max="6406" width="30.7109375" style="956" customWidth="1"/>
    <col min="6407" max="6408" width="10" style="956" customWidth="1"/>
    <col min="6409" max="6409" width="9.85546875" style="956" customWidth="1"/>
    <col min="6410" max="6410" width="12.42578125" style="956" customWidth="1"/>
    <col min="6411" max="6416" width="12.7109375" style="956" customWidth="1"/>
    <col min="6417" max="6417" width="13" style="956" customWidth="1"/>
    <col min="6418" max="6419" width="12.7109375" style="956" customWidth="1"/>
    <col min="6420" max="6420" width="9.140625" style="956"/>
    <col min="6421" max="6421" width="11.140625" style="956" bestFit="1" customWidth="1"/>
    <col min="6422" max="6660" width="9.140625" style="956"/>
    <col min="6661" max="6661" width="4" style="956" customWidth="1"/>
    <col min="6662" max="6662" width="30.7109375" style="956" customWidth="1"/>
    <col min="6663" max="6664" width="10" style="956" customWidth="1"/>
    <col min="6665" max="6665" width="9.85546875" style="956" customWidth="1"/>
    <col min="6666" max="6666" width="12.42578125" style="956" customWidth="1"/>
    <col min="6667" max="6672" width="12.7109375" style="956" customWidth="1"/>
    <col min="6673" max="6673" width="13" style="956" customWidth="1"/>
    <col min="6674" max="6675" width="12.7109375" style="956" customWidth="1"/>
    <col min="6676" max="6676" width="9.140625" style="956"/>
    <col min="6677" max="6677" width="11.140625" style="956" bestFit="1" customWidth="1"/>
    <col min="6678" max="6916" width="9.140625" style="956"/>
    <col min="6917" max="6917" width="4" style="956" customWidth="1"/>
    <col min="6918" max="6918" width="30.7109375" style="956" customWidth="1"/>
    <col min="6919" max="6920" width="10" style="956" customWidth="1"/>
    <col min="6921" max="6921" width="9.85546875" style="956" customWidth="1"/>
    <col min="6922" max="6922" width="12.42578125" style="956" customWidth="1"/>
    <col min="6923" max="6928" width="12.7109375" style="956" customWidth="1"/>
    <col min="6929" max="6929" width="13" style="956" customWidth="1"/>
    <col min="6930" max="6931" width="12.7109375" style="956" customWidth="1"/>
    <col min="6932" max="6932" width="9.140625" style="956"/>
    <col min="6933" max="6933" width="11.140625" style="956" bestFit="1" customWidth="1"/>
    <col min="6934" max="7172" width="9.140625" style="956"/>
    <col min="7173" max="7173" width="4" style="956" customWidth="1"/>
    <col min="7174" max="7174" width="30.7109375" style="956" customWidth="1"/>
    <col min="7175" max="7176" width="10" style="956" customWidth="1"/>
    <col min="7177" max="7177" width="9.85546875" style="956" customWidth="1"/>
    <col min="7178" max="7178" width="12.42578125" style="956" customWidth="1"/>
    <col min="7179" max="7184" width="12.7109375" style="956" customWidth="1"/>
    <col min="7185" max="7185" width="13" style="956" customWidth="1"/>
    <col min="7186" max="7187" width="12.7109375" style="956" customWidth="1"/>
    <col min="7188" max="7188" width="9.140625" style="956"/>
    <col min="7189" max="7189" width="11.140625" style="956" bestFit="1" customWidth="1"/>
    <col min="7190" max="7428" width="9.140625" style="956"/>
    <col min="7429" max="7429" width="4" style="956" customWidth="1"/>
    <col min="7430" max="7430" width="30.7109375" style="956" customWidth="1"/>
    <col min="7431" max="7432" width="10" style="956" customWidth="1"/>
    <col min="7433" max="7433" width="9.85546875" style="956" customWidth="1"/>
    <col min="7434" max="7434" width="12.42578125" style="956" customWidth="1"/>
    <col min="7435" max="7440" width="12.7109375" style="956" customWidth="1"/>
    <col min="7441" max="7441" width="13" style="956" customWidth="1"/>
    <col min="7442" max="7443" width="12.7109375" style="956" customWidth="1"/>
    <col min="7444" max="7444" width="9.140625" style="956"/>
    <col min="7445" max="7445" width="11.140625" style="956" bestFit="1" customWidth="1"/>
    <col min="7446" max="7684" width="9.140625" style="956"/>
    <col min="7685" max="7685" width="4" style="956" customWidth="1"/>
    <col min="7686" max="7686" width="30.7109375" style="956" customWidth="1"/>
    <col min="7687" max="7688" width="10" style="956" customWidth="1"/>
    <col min="7689" max="7689" width="9.85546875" style="956" customWidth="1"/>
    <col min="7690" max="7690" width="12.42578125" style="956" customWidth="1"/>
    <col min="7691" max="7696" width="12.7109375" style="956" customWidth="1"/>
    <col min="7697" max="7697" width="13" style="956" customWidth="1"/>
    <col min="7698" max="7699" width="12.7109375" style="956" customWidth="1"/>
    <col min="7700" max="7700" width="9.140625" style="956"/>
    <col min="7701" max="7701" width="11.140625" style="956" bestFit="1" customWidth="1"/>
    <col min="7702" max="7940" width="9.140625" style="956"/>
    <col min="7941" max="7941" width="4" style="956" customWidth="1"/>
    <col min="7942" max="7942" width="30.7109375" style="956" customWidth="1"/>
    <col min="7943" max="7944" width="10" style="956" customWidth="1"/>
    <col min="7945" max="7945" width="9.85546875" style="956" customWidth="1"/>
    <col min="7946" max="7946" width="12.42578125" style="956" customWidth="1"/>
    <col min="7947" max="7952" width="12.7109375" style="956" customWidth="1"/>
    <col min="7953" max="7953" width="13" style="956" customWidth="1"/>
    <col min="7954" max="7955" width="12.7109375" style="956" customWidth="1"/>
    <col min="7956" max="7956" width="9.140625" style="956"/>
    <col min="7957" max="7957" width="11.140625" style="956" bestFit="1" customWidth="1"/>
    <col min="7958" max="8196" width="9.140625" style="956"/>
    <col min="8197" max="8197" width="4" style="956" customWidth="1"/>
    <col min="8198" max="8198" width="30.7109375" style="956" customWidth="1"/>
    <col min="8199" max="8200" width="10" style="956" customWidth="1"/>
    <col min="8201" max="8201" width="9.85546875" style="956" customWidth="1"/>
    <col min="8202" max="8202" width="12.42578125" style="956" customWidth="1"/>
    <col min="8203" max="8208" width="12.7109375" style="956" customWidth="1"/>
    <col min="8209" max="8209" width="13" style="956" customWidth="1"/>
    <col min="8210" max="8211" width="12.7109375" style="956" customWidth="1"/>
    <col min="8212" max="8212" width="9.140625" style="956"/>
    <col min="8213" max="8213" width="11.140625" style="956" bestFit="1" customWidth="1"/>
    <col min="8214" max="8452" width="9.140625" style="956"/>
    <col min="8453" max="8453" width="4" style="956" customWidth="1"/>
    <col min="8454" max="8454" width="30.7109375" style="956" customWidth="1"/>
    <col min="8455" max="8456" width="10" style="956" customWidth="1"/>
    <col min="8457" max="8457" width="9.85546875" style="956" customWidth="1"/>
    <col min="8458" max="8458" width="12.42578125" style="956" customWidth="1"/>
    <col min="8459" max="8464" width="12.7109375" style="956" customWidth="1"/>
    <col min="8465" max="8465" width="13" style="956" customWidth="1"/>
    <col min="8466" max="8467" width="12.7109375" style="956" customWidth="1"/>
    <col min="8468" max="8468" width="9.140625" style="956"/>
    <col min="8469" max="8469" width="11.140625" style="956" bestFit="1" customWidth="1"/>
    <col min="8470" max="8708" width="9.140625" style="956"/>
    <col min="8709" max="8709" width="4" style="956" customWidth="1"/>
    <col min="8710" max="8710" width="30.7109375" style="956" customWidth="1"/>
    <col min="8711" max="8712" width="10" style="956" customWidth="1"/>
    <col min="8713" max="8713" width="9.85546875" style="956" customWidth="1"/>
    <col min="8714" max="8714" width="12.42578125" style="956" customWidth="1"/>
    <col min="8715" max="8720" width="12.7109375" style="956" customWidth="1"/>
    <col min="8721" max="8721" width="13" style="956" customWidth="1"/>
    <col min="8722" max="8723" width="12.7109375" style="956" customWidth="1"/>
    <col min="8724" max="8724" width="9.140625" style="956"/>
    <col min="8725" max="8725" width="11.140625" style="956" bestFit="1" customWidth="1"/>
    <col min="8726" max="8964" width="9.140625" style="956"/>
    <col min="8965" max="8965" width="4" style="956" customWidth="1"/>
    <col min="8966" max="8966" width="30.7109375" style="956" customWidth="1"/>
    <col min="8967" max="8968" width="10" style="956" customWidth="1"/>
    <col min="8969" max="8969" width="9.85546875" style="956" customWidth="1"/>
    <col min="8970" max="8970" width="12.42578125" style="956" customWidth="1"/>
    <col min="8971" max="8976" width="12.7109375" style="956" customWidth="1"/>
    <col min="8977" max="8977" width="13" style="956" customWidth="1"/>
    <col min="8978" max="8979" width="12.7109375" style="956" customWidth="1"/>
    <col min="8980" max="8980" width="9.140625" style="956"/>
    <col min="8981" max="8981" width="11.140625" style="956" bestFit="1" customWidth="1"/>
    <col min="8982" max="9220" width="9.140625" style="956"/>
    <col min="9221" max="9221" width="4" style="956" customWidth="1"/>
    <col min="9222" max="9222" width="30.7109375" style="956" customWidth="1"/>
    <col min="9223" max="9224" width="10" style="956" customWidth="1"/>
    <col min="9225" max="9225" width="9.85546875" style="956" customWidth="1"/>
    <col min="9226" max="9226" width="12.42578125" style="956" customWidth="1"/>
    <col min="9227" max="9232" width="12.7109375" style="956" customWidth="1"/>
    <col min="9233" max="9233" width="13" style="956" customWidth="1"/>
    <col min="9234" max="9235" width="12.7109375" style="956" customWidth="1"/>
    <col min="9236" max="9236" width="9.140625" style="956"/>
    <col min="9237" max="9237" width="11.140625" style="956" bestFit="1" customWidth="1"/>
    <col min="9238" max="9476" width="9.140625" style="956"/>
    <col min="9477" max="9477" width="4" style="956" customWidth="1"/>
    <col min="9478" max="9478" width="30.7109375" style="956" customWidth="1"/>
    <col min="9479" max="9480" width="10" style="956" customWidth="1"/>
    <col min="9481" max="9481" width="9.85546875" style="956" customWidth="1"/>
    <col min="9482" max="9482" width="12.42578125" style="956" customWidth="1"/>
    <col min="9483" max="9488" width="12.7109375" style="956" customWidth="1"/>
    <col min="9489" max="9489" width="13" style="956" customWidth="1"/>
    <col min="9490" max="9491" width="12.7109375" style="956" customWidth="1"/>
    <col min="9492" max="9492" width="9.140625" style="956"/>
    <col min="9493" max="9493" width="11.140625" style="956" bestFit="1" customWidth="1"/>
    <col min="9494" max="9732" width="9.140625" style="956"/>
    <col min="9733" max="9733" width="4" style="956" customWidth="1"/>
    <col min="9734" max="9734" width="30.7109375" style="956" customWidth="1"/>
    <col min="9735" max="9736" width="10" style="956" customWidth="1"/>
    <col min="9737" max="9737" width="9.85546875" style="956" customWidth="1"/>
    <col min="9738" max="9738" width="12.42578125" style="956" customWidth="1"/>
    <col min="9739" max="9744" width="12.7109375" style="956" customWidth="1"/>
    <col min="9745" max="9745" width="13" style="956" customWidth="1"/>
    <col min="9746" max="9747" width="12.7109375" style="956" customWidth="1"/>
    <col min="9748" max="9748" width="9.140625" style="956"/>
    <col min="9749" max="9749" width="11.140625" style="956" bestFit="1" customWidth="1"/>
    <col min="9750" max="9988" width="9.140625" style="956"/>
    <col min="9989" max="9989" width="4" style="956" customWidth="1"/>
    <col min="9990" max="9990" width="30.7109375" style="956" customWidth="1"/>
    <col min="9991" max="9992" width="10" style="956" customWidth="1"/>
    <col min="9993" max="9993" width="9.85546875" style="956" customWidth="1"/>
    <col min="9994" max="9994" width="12.42578125" style="956" customWidth="1"/>
    <col min="9995" max="10000" width="12.7109375" style="956" customWidth="1"/>
    <col min="10001" max="10001" width="13" style="956" customWidth="1"/>
    <col min="10002" max="10003" width="12.7109375" style="956" customWidth="1"/>
    <col min="10004" max="10004" width="9.140625" style="956"/>
    <col min="10005" max="10005" width="11.140625" style="956" bestFit="1" customWidth="1"/>
    <col min="10006" max="10244" width="9.140625" style="956"/>
    <col min="10245" max="10245" width="4" style="956" customWidth="1"/>
    <col min="10246" max="10246" width="30.7109375" style="956" customWidth="1"/>
    <col min="10247" max="10248" width="10" style="956" customWidth="1"/>
    <col min="10249" max="10249" width="9.85546875" style="956" customWidth="1"/>
    <col min="10250" max="10250" width="12.42578125" style="956" customWidth="1"/>
    <col min="10251" max="10256" width="12.7109375" style="956" customWidth="1"/>
    <col min="10257" max="10257" width="13" style="956" customWidth="1"/>
    <col min="10258" max="10259" width="12.7109375" style="956" customWidth="1"/>
    <col min="10260" max="10260" width="9.140625" style="956"/>
    <col min="10261" max="10261" width="11.140625" style="956" bestFit="1" customWidth="1"/>
    <col min="10262" max="10500" width="9.140625" style="956"/>
    <col min="10501" max="10501" width="4" style="956" customWidth="1"/>
    <col min="10502" max="10502" width="30.7109375" style="956" customWidth="1"/>
    <col min="10503" max="10504" width="10" style="956" customWidth="1"/>
    <col min="10505" max="10505" width="9.85546875" style="956" customWidth="1"/>
    <col min="10506" max="10506" width="12.42578125" style="956" customWidth="1"/>
    <col min="10507" max="10512" width="12.7109375" style="956" customWidth="1"/>
    <col min="10513" max="10513" width="13" style="956" customWidth="1"/>
    <col min="10514" max="10515" width="12.7109375" style="956" customWidth="1"/>
    <col min="10516" max="10516" width="9.140625" style="956"/>
    <col min="10517" max="10517" width="11.140625" style="956" bestFit="1" customWidth="1"/>
    <col min="10518" max="10756" width="9.140625" style="956"/>
    <col min="10757" max="10757" width="4" style="956" customWidth="1"/>
    <col min="10758" max="10758" width="30.7109375" style="956" customWidth="1"/>
    <col min="10759" max="10760" width="10" style="956" customWidth="1"/>
    <col min="10761" max="10761" width="9.85546875" style="956" customWidth="1"/>
    <col min="10762" max="10762" width="12.42578125" style="956" customWidth="1"/>
    <col min="10763" max="10768" width="12.7109375" style="956" customWidth="1"/>
    <col min="10769" max="10769" width="13" style="956" customWidth="1"/>
    <col min="10770" max="10771" width="12.7109375" style="956" customWidth="1"/>
    <col min="10772" max="10772" width="9.140625" style="956"/>
    <col min="10773" max="10773" width="11.140625" style="956" bestFit="1" customWidth="1"/>
    <col min="10774" max="11012" width="9.140625" style="956"/>
    <col min="11013" max="11013" width="4" style="956" customWidth="1"/>
    <col min="11014" max="11014" width="30.7109375" style="956" customWidth="1"/>
    <col min="11015" max="11016" width="10" style="956" customWidth="1"/>
    <col min="11017" max="11017" width="9.85546875" style="956" customWidth="1"/>
    <col min="11018" max="11018" width="12.42578125" style="956" customWidth="1"/>
    <col min="11019" max="11024" width="12.7109375" style="956" customWidth="1"/>
    <col min="11025" max="11025" width="13" style="956" customWidth="1"/>
    <col min="11026" max="11027" width="12.7109375" style="956" customWidth="1"/>
    <col min="11028" max="11028" width="9.140625" style="956"/>
    <col min="11029" max="11029" width="11.140625" style="956" bestFit="1" customWidth="1"/>
    <col min="11030" max="11268" width="9.140625" style="956"/>
    <col min="11269" max="11269" width="4" style="956" customWidth="1"/>
    <col min="11270" max="11270" width="30.7109375" style="956" customWidth="1"/>
    <col min="11271" max="11272" width="10" style="956" customWidth="1"/>
    <col min="11273" max="11273" width="9.85546875" style="956" customWidth="1"/>
    <col min="11274" max="11274" width="12.42578125" style="956" customWidth="1"/>
    <col min="11275" max="11280" width="12.7109375" style="956" customWidth="1"/>
    <col min="11281" max="11281" width="13" style="956" customWidth="1"/>
    <col min="11282" max="11283" width="12.7109375" style="956" customWidth="1"/>
    <col min="11284" max="11284" width="9.140625" style="956"/>
    <col min="11285" max="11285" width="11.140625" style="956" bestFit="1" customWidth="1"/>
    <col min="11286" max="11524" width="9.140625" style="956"/>
    <col min="11525" max="11525" width="4" style="956" customWidth="1"/>
    <col min="11526" max="11526" width="30.7109375" style="956" customWidth="1"/>
    <col min="11527" max="11528" width="10" style="956" customWidth="1"/>
    <col min="11529" max="11529" width="9.85546875" style="956" customWidth="1"/>
    <col min="11530" max="11530" width="12.42578125" style="956" customWidth="1"/>
    <col min="11531" max="11536" width="12.7109375" style="956" customWidth="1"/>
    <col min="11537" max="11537" width="13" style="956" customWidth="1"/>
    <col min="11538" max="11539" width="12.7109375" style="956" customWidth="1"/>
    <col min="11540" max="11540" width="9.140625" style="956"/>
    <col min="11541" max="11541" width="11.140625" style="956" bestFit="1" customWidth="1"/>
    <col min="11542" max="11780" width="9.140625" style="956"/>
    <col min="11781" max="11781" width="4" style="956" customWidth="1"/>
    <col min="11782" max="11782" width="30.7109375" style="956" customWidth="1"/>
    <col min="11783" max="11784" width="10" style="956" customWidth="1"/>
    <col min="11785" max="11785" width="9.85546875" style="956" customWidth="1"/>
    <col min="11786" max="11786" width="12.42578125" style="956" customWidth="1"/>
    <col min="11787" max="11792" width="12.7109375" style="956" customWidth="1"/>
    <col min="11793" max="11793" width="13" style="956" customWidth="1"/>
    <col min="11794" max="11795" width="12.7109375" style="956" customWidth="1"/>
    <col min="11796" max="11796" width="9.140625" style="956"/>
    <col min="11797" max="11797" width="11.140625" style="956" bestFit="1" customWidth="1"/>
    <col min="11798" max="12036" width="9.140625" style="956"/>
    <col min="12037" max="12037" width="4" style="956" customWidth="1"/>
    <col min="12038" max="12038" width="30.7109375" style="956" customWidth="1"/>
    <col min="12039" max="12040" width="10" style="956" customWidth="1"/>
    <col min="12041" max="12041" width="9.85546875" style="956" customWidth="1"/>
    <col min="12042" max="12042" width="12.42578125" style="956" customWidth="1"/>
    <col min="12043" max="12048" width="12.7109375" style="956" customWidth="1"/>
    <col min="12049" max="12049" width="13" style="956" customWidth="1"/>
    <col min="12050" max="12051" width="12.7109375" style="956" customWidth="1"/>
    <col min="12052" max="12052" width="9.140625" style="956"/>
    <col min="12053" max="12053" width="11.140625" style="956" bestFit="1" customWidth="1"/>
    <col min="12054" max="12292" width="9.140625" style="956"/>
    <col min="12293" max="12293" width="4" style="956" customWidth="1"/>
    <col min="12294" max="12294" width="30.7109375" style="956" customWidth="1"/>
    <col min="12295" max="12296" width="10" style="956" customWidth="1"/>
    <col min="12297" max="12297" width="9.85546875" style="956" customWidth="1"/>
    <col min="12298" max="12298" width="12.42578125" style="956" customWidth="1"/>
    <col min="12299" max="12304" width="12.7109375" style="956" customWidth="1"/>
    <col min="12305" max="12305" width="13" style="956" customWidth="1"/>
    <col min="12306" max="12307" width="12.7109375" style="956" customWidth="1"/>
    <col min="12308" max="12308" width="9.140625" style="956"/>
    <col min="12309" max="12309" width="11.140625" style="956" bestFit="1" customWidth="1"/>
    <col min="12310" max="12548" width="9.140625" style="956"/>
    <col min="12549" max="12549" width="4" style="956" customWidth="1"/>
    <col min="12550" max="12550" width="30.7109375" style="956" customWidth="1"/>
    <col min="12551" max="12552" width="10" style="956" customWidth="1"/>
    <col min="12553" max="12553" width="9.85546875" style="956" customWidth="1"/>
    <col min="12554" max="12554" width="12.42578125" style="956" customWidth="1"/>
    <col min="12555" max="12560" width="12.7109375" style="956" customWidth="1"/>
    <col min="12561" max="12561" width="13" style="956" customWidth="1"/>
    <col min="12562" max="12563" width="12.7109375" style="956" customWidth="1"/>
    <col min="12564" max="12564" width="9.140625" style="956"/>
    <col min="12565" max="12565" width="11.140625" style="956" bestFit="1" customWidth="1"/>
    <col min="12566" max="12804" width="9.140625" style="956"/>
    <col min="12805" max="12805" width="4" style="956" customWidth="1"/>
    <col min="12806" max="12806" width="30.7109375" style="956" customWidth="1"/>
    <col min="12807" max="12808" width="10" style="956" customWidth="1"/>
    <col min="12809" max="12809" width="9.85546875" style="956" customWidth="1"/>
    <col min="12810" max="12810" width="12.42578125" style="956" customWidth="1"/>
    <col min="12811" max="12816" width="12.7109375" style="956" customWidth="1"/>
    <col min="12817" max="12817" width="13" style="956" customWidth="1"/>
    <col min="12818" max="12819" width="12.7109375" style="956" customWidth="1"/>
    <col min="12820" max="12820" width="9.140625" style="956"/>
    <col min="12821" max="12821" width="11.140625" style="956" bestFit="1" customWidth="1"/>
    <col min="12822" max="13060" width="9.140625" style="956"/>
    <col min="13061" max="13061" width="4" style="956" customWidth="1"/>
    <col min="13062" max="13062" width="30.7109375" style="956" customWidth="1"/>
    <col min="13063" max="13064" width="10" style="956" customWidth="1"/>
    <col min="13065" max="13065" width="9.85546875" style="956" customWidth="1"/>
    <col min="13066" max="13066" width="12.42578125" style="956" customWidth="1"/>
    <col min="13067" max="13072" width="12.7109375" style="956" customWidth="1"/>
    <col min="13073" max="13073" width="13" style="956" customWidth="1"/>
    <col min="13074" max="13075" width="12.7109375" style="956" customWidth="1"/>
    <col min="13076" max="13076" width="9.140625" style="956"/>
    <col min="13077" max="13077" width="11.140625" style="956" bestFit="1" customWidth="1"/>
    <col min="13078" max="13316" width="9.140625" style="956"/>
    <col min="13317" max="13317" width="4" style="956" customWidth="1"/>
    <col min="13318" max="13318" width="30.7109375" style="956" customWidth="1"/>
    <col min="13319" max="13320" width="10" style="956" customWidth="1"/>
    <col min="13321" max="13321" width="9.85546875" style="956" customWidth="1"/>
    <col min="13322" max="13322" width="12.42578125" style="956" customWidth="1"/>
    <col min="13323" max="13328" width="12.7109375" style="956" customWidth="1"/>
    <col min="13329" max="13329" width="13" style="956" customWidth="1"/>
    <col min="13330" max="13331" width="12.7109375" style="956" customWidth="1"/>
    <col min="13332" max="13332" width="9.140625" style="956"/>
    <col min="13333" max="13333" width="11.140625" style="956" bestFit="1" customWidth="1"/>
    <col min="13334" max="13572" width="9.140625" style="956"/>
    <col min="13573" max="13573" width="4" style="956" customWidth="1"/>
    <col min="13574" max="13574" width="30.7109375" style="956" customWidth="1"/>
    <col min="13575" max="13576" width="10" style="956" customWidth="1"/>
    <col min="13577" max="13577" width="9.85546875" style="956" customWidth="1"/>
    <col min="13578" max="13578" width="12.42578125" style="956" customWidth="1"/>
    <col min="13579" max="13584" width="12.7109375" style="956" customWidth="1"/>
    <col min="13585" max="13585" width="13" style="956" customWidth="1"/>
    <col min="13586" max="13587" width="12.7109375" style="956" customWidth="1"/>
    <col min="13588" max="13588" width="9.140625" style="956"/>
    <col min="13589" max="13589" width="11.140625" style="956" bestFit="1" customWidth="1"/>
    <col min="13590" max="13828" width="9.140625" style="956"/>
    <col min="13829" max="13829" width="4" style="956" customWidth="1"/>
    <col min="13830" max="13830" width="30.7109375" style="956" customWidth="1"/>
    <col min="13831" max="13832" width="10" style="956" customWidth="1"/>
    <col min="13833" max="13833" width="9.85546875" style="956" customWidth="1"/>
    <col min="13834" max="13834" width="12.42578125" style="956" customWidth="1"/>
    <col min="13835" max="13840" width="12.7109375" style="956" customWidth="1"/>
    <col min="13841" max="13841" width="13" style="956" customWidth="1"/>
    <col min="13842" max="13843" width="12.7109375" style="956" customWidth="1"/>
    <col min="13844" max="13844" width="9.140625" style="956"/>
    <col min="13845" max="13845" width="11.140625" style="956" bestFit="1" customWidth="1"/>
    <col min="13846" max="14084" width="9.140625" style="956"/>
    <col min="14085" max="14085" width="4" style="956" customWidth="1"/>
    <col min="14086" max="14086" width="30.7109375" style="956" customWidth="1"/>
    <col min="14087" max="14088" width="10" style="956" customWidth="1"/>
    <col min="14089" max="14089" width="9.85546875" style="956" customWidth="1"/>
    <col min="14090" max="14090" width="12.42578125" style="956" customWidth="1"/>
    <col min="14091" max="14096" width="12.7109375" style="956" customWidth="1"/>
    <col min="14097" max="14097" width="13" style="956" customWidth="1"/>
    <col min="14098" max="14099" width="12.7109375" style="956" customWidth="1"/>
    <col min="14100" max="14100" width="9.140625" style="956"/>
    <col min="14101" max="14101" width="11.140625" style="956" bestFit="1" customWidth="1"/>
    <col min="14102" max="14340" width="9.140625" style="956"/>
    <col min="14341" max="14341" width="4" style="956" customWidth="1"/>
    <col min="14342" max="14342" width="30.7109375" style="956" customWidth="1"/>
    <col min="14343" max="14344" width="10" style="956" customWidth="1"/>
    <col min="14345" max="14345" width="9.85546875" style="956" customWidth="1"/>
    <col min="14346" max="14346" width="12.42578125" style="956" customWidth="1"/>
    <col min="14347" max="14352" width="12.7109375" style="956" customWidth="1"/>
    <col min="14353" max="14353" width="13" style="956" customWidth="1"/>
    <col min="14354" max="14355" width="12.7109375" style="956" customWidth="1"/>
    <col min="14356" max="14356" width="9.140625" style="956"/>
    <col min="14357" max="14357" width="11.140625" style="956" bestFit="1" customWidth="1"/>
    <col min="14358" max="14596" width="9.140625" style="956"/>
    <col min="14597" max="14597" width="4" style="956" customWidth="1"/>
    <col min="14598" max="14598" width="30.7109375" style="956" customWidth="1"/>
    <col min="14599" max="14600" width="10" style="956" customWidth="1"/>
    <col min="14601" max="14601" width="9.85546875" style="956" customWidth="1"/>
    <col min="14602" max="14602" width="12.42578125" style="956" customWidth="1"/>
    <col min="14603" max="14608" width="12.7109375" style="956" customWidth="1"/>
    <col min="14609" max="14609" width="13" style="956" customWidth="1"/>
    <col min="14610" max="14611" width="12.7109375" style="956" customWidth="1"/>
    <col min="14612" max="14612" width="9.140625" style="956"/>
    <col min="14613" max="14613" width="11.140625" style="956" bestFit="1" customWidth="1"/>
    <col min="14614" max="14852" width="9.140625" style="956"/>
    <col min="14853" max="14853" width="4" style="956" customWidth="1"/>
    <col min="14854" max="14854" width="30.7109375" style="956" customWidth="1"/>
    <col min="14855" max="14856" width="10" style="956" customWidth="1"/>
    <col min="14857" max="14857" width="9.85546875" style="956" customWidth="1"/>
    <col min="14858" max="14858" width="12.42578125" style="956" customWidth="1"/>
    <col min="14859" max="14864" width="12.7109375" style="956" customWidth="1"/>
    <col min="14865" max="14865" width="13" style="956" customWidth="1"/>
    <col min="14866" max="14867" width="12.7109375" style="956" customWidth="1"/>
    <col min="14868" max="14868" width="9.140625" style="956"/>
    <col min="14869" max="14869" width="11.140625" style="956" bestFit="1" customWidth="1"/>
    <col min="14870" max="15108" width="9.140625" style="956"/>
    <col min="15109" max="15109" width="4" style="956" customWidth="1"/>
    <col min="15110" max="15110" width="30.7109375" style="956" customWidth="1"/>
    <col min="15111" max="15112" width="10" style="956" customWidth="1"/>
    <col min="15113" max="15113" width="9.85546875" style="956" customWidth="1"/>
    <col min="15114" max="15114" width="12.42578125" style="956" customWidth="1"/>
    <col min="15115" max="15120" width="12.7109375" style="956" customWidth="1"/>
    <col min="15121" max="15121" width="13" style="956" customWidth="1"/>
    <col min="15122" max="15123" width="12.7109375" style="956" customWidth="1"/>
    <col min="15124" max="15124" width="9.140625" style="956"/>
    <col min="15125" max="15125" width="11.140625" style="956" bestFit="1" customWidth="1"/>
    <col min="15126" max="15364" width="9.140625" style="956"/>
    <col min="15365" max="15365" width="4" style="956" customWidth="1"/>
    <col min="15366" max="15366" width="30.7109375" style="956" customWidth="1"/>
    <col min="15367" max="15368" width="10" style="956" customWidth="1"/>
    <col min="15369" max="15369" width="9.85546875" style="956" customWidth="1"/>
    <col min="15370" max="15370" width="12.42578125" style="956" customWidth="1"/>
    <col min="15371" max="15376" width="12.7109375" style="956" customWidth="1"/>
    <col min="15377" max="15377" width="13" style="956" customWidth="1"/>
    <col min="15378" max="15379" width="12.7109375" style="956" customWidth="1"/>
    <col min="15380" max="15380" width="9.140625" style="956"/>
    <col min="15381" max="15381" width="11.140625" style="956" bestFit="1" customWidth="1"/>
    <col min="15382" max="15620" width="9.140625" style="956"/>
    <col min="15621" max="15621" width="4" style="956" customWidth="1"/>
    <col min="15622" max="15622" width="30.7109375" style="956" customWidth="1"/>
    <col min="15623" max="15624" width="10" style="956" customWidth="1"/>
    <col min="15625" max="15625" width="9.85546875" style="956" customWidth="1"/>
    <col min="15626" max="15626" width="12.42578125" style="956" customWidth="1"/>
    <col min="15627" max="15632" width="12.7109375" style="956" customWidth="1"/>
    <col min="15633" max="15633" width="13" style="956" customWidth="1"/>
    <col min="15634" max="15635" width="12.7109375" style="956" customWidth="1"/>
    <col min="15636" max="15636" width="9.140625" style="956"/>
    <col min="15637" max="15637" width="11.140625" style="956" bestFit="1" customWidth="1"/>
    <col min="15638" max="15876" width="9.140625" style="956"/>
    <col min="15877" max="15877" width="4" style="956" customWidth="1"/>
    <col min="15878" max="15878" width="30.7109375" style="956" customWidth="1"/>
    <col min="15879" max="15880" width="10" style="956" customWidth="1"/>
    <col min="15881" max="15881" width="9.85546875" style="956" customWidth="1"/>
    <col min="15882" max="15882" width="12.42578125" style="956" customWidth="1"/>
    <col min="15883" max="15888" width="12.7109375" style="956" customWidth="1"/>
    <col min="15889" max="15889" width="13" style="956" customWidth="1"/>
    <col min="15890" max="15891" width="12.7109375" style="956" customWidth="1"/>
    <col min="15892" max="15892" width="9.140625" style="956"/>
    <col min="15893" max="15893" width="11.140625" style="956" bestFit="1" customWidth="1"/>
    <col min="15894" max="16132" width="9.140625" style="956"/>
    <col min="16133" max="16133" width="4" style="956" customWidth="1"/>
    <col min="16134" max="16134" width="30.7109375" style="956" customWidth="1"/>
    <col min="16135" max="16136" width="10" style="956" customWidth="1"/>
    <col min="16137" max="16137" width="9.85546875" style="956" customWidth="1"/>
    <col min="16138" max="16138" width="12.42578125" style="956" customWidth="1"/>
    <col min="16139" max="16144" width="12.7109375" style="956" customWidth="1"/>
    <col min="16145" max="16145" width="13" style="956" customWidth="1"/>
    <col min="16146" max="16147" width="12.7109375" style="956" customWidth="1"/>
    <col min="16148" max="16148" width="9.140625" style="956"/>
    <col min="16149" max="16149" width="11.140625" style="956" bestFit="1" customWidth="1"/>
    <col min="16150" max="16384" width="9.140625" style="956"/>
  </cols>
  <sheetData>
    <row r="1" spans="1:24" s="954" customFormat="1" ht="13.5" thickBot="1">
      <c r="A1" s="954" t="s">
        <v>15</v>
      </c>
      <c r="B1" s="955"/>
      <c r="E1" s="955"/>
    </row>
    <row r="2" spans="1:24" ht="23.25" thickBot="1">
      <c r="A2" s="1724" t="s">
        <v>16</v>
      </c>
      <c r="B2" s="1725"/>
      <c r="C2" s="1725"/>
      <c r="D2" s="1725"/>
      <c r="E2" s="1725"/>
      <c r="F2" s="1725"/>
      <c r="G2" s="1725"/>
      <c r="H2" s="1725"/>
      <c r="I2" s="1725"/>
      <c r="J2" s="1725"/>
      <c r="K2" s="1725"/>
      <c r="L2" s="1725"/>
      <c r="M2" s="1725"/>
      <c r="N2" s="1725"/>
      <c r="O2" s="1725"/>
      <c r="P2" s="1725"/>
      <c r="Q2" s="1725"/>
      <c r="R2" s="1725"/>
      <c r="S2" s="1725"/>
    </row>
    <row r="3" spans="1:24" ht="16.5" thickBot="1">
      <c r="A3" s="1726" t="s">
        <v>17</v>
      </c>
      <c r="B3" s="1727"/>
      <c r="C3" s="1727"/>
      <c r="D3" s="1727"/>
      <c r="E3" s="1727"/>
      <c r="F3" s="1727"/>
      <c r="G3" s="1727"/>
      <c r="H3" s="1727"/>
      <c r="I3" s="1727"/>
      <c r="J3" s="1727"/>
      <c r="K3" s="1727"/>
      <c r="L3" s="1727"/>
      <c r="M3" s="1727"/>
      <c r="N3" s="1727"/>
      <c r="O3" s="1727"/>
      <c r="P3" s="1727"/>
      <c r="Q3" s="1727"/>
      <c r="R3" s="1727"/>
      <c r="S3" s="1727"/>
    </row>
    <row r="4" spans="1:24" ht="25.5">
      <c r="A4" s="957" t="s">
        <v>18</v>
      </c>
      <c r="B4" s="958"/>
      <c r="C4" s="959" t="s">
        <v>19</v>
      </c>
      <c r="D4" s="959"/>
      <c r="E4" s="959"/>
      <c r="F4" s="960"/>
      <c r="G4" s="1728" t="s">
        <v>20</v>
      </c>
      <c r="H4" s="1561" t="s">
        <v>1985</v>
      </c>
      <c r="I4" s="762">
        <f>L39-O24</f>
        <v>2269</v>
      </c>
      <c r="J4" s="962"/>
      <c r="K4" s="963"/>
      <c r="L4" s="963"/>
      <c r="M4" s="963"/>
      <c r="N4" s="963"/>
      <c r="O4" s="963"/>
      <c r="P4" s="963"/>
      <c r="Q4" s="963"/>
      <c r="R4" s="962" t="s">
        <v>22</v>
      </c>
      <c r="S4" s="963" t="s">
        <v>23</v>
      </c>
    </row>
    <row r="5" spans="1:24" ht="26.25" thickBot="1">
      <c r="A5" s="964" t="s">
        <v>26</v>
      </c>
      <c r="B5" s="965"/>
      <c r="C5" s="966" t="s">
        <v>27</v>
      </c>
      <c r="D5" s="966"/>
      <c r="E5" s="966"/>
      <c r="F5" s="967"/>
      <c r="G5" s="1729"/>
      <c r="H5" s="968" t="s">
        <v>28</v>
      </c>
      <c r="I5" s="354"/>
      <c r="J5" s="969"/>
      <c r="K5" s="970"/>
      <c r="L5" s="970"/>
      <c r="M5" s="970"/>
      <c r="N5" s="970"/>
      <c r="O5" s="970"/>
      <c r="P5" s="970"/>
      <c r="Q5" s="970"/>
      <c r="R5" s="969" t="s">
        <v>29</v>
      </c>
      <c r="S5" s="970"/>
      <c r="T5" s="970" t="s">
        <v>18</v>
      </c>
      <c r="U5" s="970" t="s">
        <v>31</v>
      </c>
    </row>
    <row r="6" spans="1:24" ht="13.5" thickBot="1">
      <c r="A6" s="971"/>
      <c r="B6" s="1562"/>
      <c r="F6" s="974"/>
      <c r="G6" s="355"/>
      <c r="H6" s="976"/>
      <c r="I6" s="974"/>
      <c r="J6" s="976"/>
      <c r="K6" s="974"/>
      <c r="L6" s="974"/>
      <c r="M6" s="974"/>
      <c r="N6" s="974"/>
      <c r="O6" s="974"/>
      <c r="P6" s="974"/>
      <c r="Q6" s="974"/>
      <c r="R6" s="974"/>
      <c r="S6" s="974"/>
    </row>
    <row r="7" spans="1:24" ht="31.5" customHeight="1" thickBot="1">
      <c r="A7" s="1730" t="s">
        <v>32</v>
      </c>
      <c r="B7" s="1733" t="s">
        <v>33</v>
      </c>
      <c r="C7" s="1758" t="s">
        <v>1986</v>
      </c>
      <c r="D7" s="1548"/>
      <c r="E7" s="1758" t="s">
        <v>34</v>
      </c>
      <c r="F7" s="1738" t="s">
        <v>35</v>
      </c>
      <c r="G7" s="1741" t="s">
        <v>36</v>
      </c>
      <c r="H7" s="1744" t="s">
        <v>1987</v>
      </c>
      <c r="I7" s="1745"/>
      <c r="J7" s="1761" t="s">
        <v>1988</v>
      </c>
      <c r="K7" s="1762"/>
      <c r="L7" s="1763" t="s">
        <v>1989</v>
      </c>
      <c r="M7" s="1764"/>
      <c r="N7" s="1763" t="s">
        <v>1990</v>
      </c>
      <c r="O7" s="1764"/>
      <c r="P7" s="1763" t="s">
        <v>1991</v>
      </c>
      <c r="Q7" s="1764"/>
      <c r="R7" s="1763" t="s">
        <v>1992</v>
      </c>
      <c r="S7" s="1764"/>
    </row>
    <row r="8" spans="1:24" ht="19.5" customHeight="1">
      <c r="A8" s="1731"/>
      <c r="B8" s="1734"/>
      <c r="C8" s="1759"/>
      <c r="D8" s="1549"/>
      <c r="E8" s="1759"/>
      <c r="F8" s="1739"/>
      <c r="G8" s="1742"/>
      <c r="H8" s="1722" t="s">
        <v>1993</v>
      </c>
      <c r="I8" s="1723"/>
      <c r="J8" s="1723" t="s">
        <v>1994</v>
      </c>
      <c r="K8" s="1723"/>
      <c r="L8" s="1723" t="s">
        <v>1995</v>
      </c>
      <c r="M8" s="1723"/>
      <c r="N8" s="1723" t="s">
        <v>1996</v>
      </c>
      <c r="O8" s="1723"/>
      <c r="P8" s="1723" t="s">
        <v>1996</v>
      </c>
      <c r="Q8" s="1723"/>
      <c r="R8" s="1723" t="s">
        <v>1997</v>
      </c>
      <c r="S8" s="1723"/>
    </row>
    <row r="9" spans="1:24" ht="21.75" customHeight="1" thickBot="1">
      <c r="A9" s="1731"/>
      <c r="B9" s="1734"/>
      <c r="C9" s="1759"/>
      <c r="D9" s="1549"/>
      <c r="E9" s="1759"/>
      <c r="F9" s="1739"/>
      <c r="G9" s="1742"/>
      <c r="H9" s="1722"/>
      <c r="I9" s="1723"/>
      <c r="J9" s="1723"/>
      <c r="K9" s="1723"/>
      <c r="L9" s="1723"/>
      <c r="M9" s="1723"/>
      <c r="N9" s="1723"/>
      <c r="O9" s="1723"/>
      <c r="P9" s="1723"/>
      <c r="Q9" s="1723"/>
      <c r="R9" s="1723"/>
      <c r="S9" s="1723"/>
      <c r="T9" s="980"/>
    </row>
    <row r="10" spans="1:24" ht="39" customHeight="1">
      <c r="A10" s="1731"/>
      <c r="B10" s="1734"/>
      <c r="C10" s="1759"/>
      <c r="D10" s="1549"/>
      <c r="E10" s="1759"/>
      <c r="F10" s="1739"/>
      <c r="G10" s="1742"/>
      <c r="H10" s="1754" t="s">
        <v>1998</v>
      </c>
      <c r="I10" s="1755"/>
      <c r="J10" s="1756" t="s">
        <v>1999</v>
      </c>
      <c r="K10" s="1757"/>
      <c r="L10" s="1752" t="s">
        <v>2000</v>
      </c>
      <c r="M10" s="1753"/>
      <c r="N10" s="1752" t="s">
        <v>2001</v>
      </c>
      <c r="O10" s="1753"/>
      <c r="P10" s="1752" t="s">
        <v>2002</v>
      </c>
      <c r="Q10" s="1753"/>
      <c r="R10" s="1752" t="s">
        <v>2003</v>
      </c>
      <c r="S10" s="1753"/>
      <c r="V10" s="1749" t="s">
        <v>372</v>
      </c>
      <c r="W10" s="1749"/>
    </row>
    <row r="11" spans="1:24">
      <c r="A11" s="1731"/>
      <c r="B11" s="1734"/>
      <c r="C11" s="1759"/>
      <c r="D11" s="1549"/>
      <c r="E11" s="1759"/>
      <c r="F11" s="1739"/>
      <c r="G11" s="1742"/>
      <c r="H11" s="1750" t="s">
        <v>46</v>
      </c>
      <c r="I11" s="1751"/>
      <c r="J11" s="1751" t="s">
        <v>46</v>
      </c>
      <c r="K11" s="1751"/>
      <c r="L11" s="1751" t="s">
        <v>46</v>
      </c>
      <c r="M11" s="1751"/>
      <c r="N11" s="1751" t="s">
        <v>46</v>
      </c>
      <c r="O11" s="1751"/>
      <c r="P11" s="1751" t="s">
        <v>46</v>
      </c>
      <c r="Q11" s="1751"/>
      <c r="R11" s="1751" t="s">
        <v>46</v>
      </c>
      <c r="S11" s="1751"/>
      <c r="T11" s="1563"/>
      <c r="V11" s="989"/>
      <c r="W11" s="989"/>
    </row>
    <row r="12" spans="1:24" ht="13.5" thickBot="1">
      <c r="A12" s="1732"/>
      <c r="B12" s="1735"/>
      <c r="C12" s="1760"/>
      <c r="D12" s="1498"/>
      <c r="E12" s="1760"/>
      <c r="F12" s="1740"/>
      <c r="G12" s="1743"/>
      <c r="H12" s="1564" t="s">
        <v>47</v>
      </c>
      <c r="I12" s="1565" t="s">
        <v>48</v>
      </c>
      <c r="J12" s="1565" t="s">
        <v>47</v>
      </c>
      <c r="K12" s="1565" t="s">
        <v>48</v>
      </c>
      <c r="L12" s="1565" t="s">
        <v>47</v>
      </c>
      <c r="M12" s="1565" t="s">
        <v>48</v>
      </c>
      <c r="N12" s="1565" t="s">
        <v>47</v>
      </c>
      <c r="O12" s="1565" t="s">
        <v>48</v>
      </c>
      <c r="P12" s="1565" t="s">
        <v>47</v>
      </c>
      <c r="Q12" s="1565" t="s">
        <v>48</v>
      </c>
      <c r="R12" s="1565" t="s">
        <v>47</v>
      </c>
      <c r="S12" s="1565" t="s">
        <v>48</v>
      </c>
      <c r="T12" s="1566" t="s">
        <v>2004</v>
      </c>
      <c r="U12" s="1567" t="s">
        <v>4</v>
      </c>
      <c r="V12" s="1567"/>
      <c r="W12" s="1567"/>
      <c r="X12" s="1567" t="s">
        <v>2005</v>
      </c>
    </row>
    <row r="13" spans="1:24" ht="15.75">
      <c r="A13" s="1568">
        <v>1</v>
      </c>
      <c r="B13" s="1407" t="s">
        <v>2006</v>
      </c>
      <c r="C13" s="1569">
        <v>3000023856</v>
      </c>
      <c r="D13" s="1570">
        <v>42254</v>
      </c>
      <c r="E13" s="1571">
        <v>401.54</v>
      </c>
      <c r="F13" s="1407" t="s">
        <v>192</v>
      </c>
      <c r="G13" s="1572">
        <v>4</v>
      </c>
      <c r="H13" s="1573">
        <v>470</v>
      </c>
      <c r="I13" s="1573">
        <f>H13*0.97</f>
        <v>455.9</v>
      </c>
      <c r="J13" s="1574">
        <v>561</v>
      </c>
      <c r="K13" s="1573">
        <f>J13*0.79</f>
        <v>443.19</v>
      </c>
      <c r="L13" s="1575">
        <v>401.54</v>
      </c>
      <c r="M13" s="1575">
        <v>401.54</v>
      </c>
      <c r="N13" s="1576">
        <v>404</v>
      </c>
      <c r="O13" s="1576">
        <v>404</v>
      </c>
      <c r="P13" s="1577">
        <v>420</v>
      </c>
      <c r="Q13" s="1577">
        <v>420</v>
      </c>
      <c r="R13" s="1578">
        <v>475</v>
      </c>
      <c r="S13" s="1573">
        <f>R13</f>
        <v>475</v>
      </c>
      <c r="T13" s="1001" t="s">
        <v>2007</v>
      </c>
      <c r="U13" s="1001" t="s">
        <v>136</v>
      </c>
      <c r="V13" s="1442"/>
      <c r="W13" s="1442"/>
      <c r="X13" s="1001" t="s">
        <v>2008</v>
      </c>
    </row>
    <row r="14" spans="1:24" ht="15.75">
      <c r="A14" s="1574">
        <v>2</v>
      </c>
      <c r="B14" s="1001" t="s">
        <v>2009</v>
      </c>
      <c r="C14" s="1579">
        <v>3000022799</v>
      </c>
      <c r="D14" s="1580">
        <v>42215</v>
      </c>
      <c r="E14" s="1575">
        <v>479.55</v>
      </c>
      <c r="F14" s="1001" t="s">
        <v>192</v>
      </c>
      <c r="G14" s="1428">
        <v>4</v>
      </c>
      <c r="H14" s="1574">
        <v>535</v>
      </c>
      <c r="I14" s="1573">
        <f t="shared" ref="I14:I22" si="0">H14*0.97</f>
        <v>518.94999999999993</v>
      </c>
      <c r="J14" s="1574">
        <v>637</v>
      </c>
      <c r="K14" s="1573">
        <f t="shared" ref="K14:K22" si="1">J14*0.79</f>
        <v>503.23</v>
      </c>
      <c r="L14" s="1575">
        <v>479.55</v>
      </c>
      <c r="M14" s="1575">
        <v>479.55</v>
      </c>
      <c r="N14" s="1576">
        <v>459</v>
      </c>
      <c r="O14" s="1576">
        <v>459</v>
      </c>
      <c r="P14" s="1577">
        <v>477</v>
      </c>
      <c r="Q14" s="1577">
        <v>477</v>
      </c>
      <c r="R14" s="1578">
        <v>540</v>
      </c>
      <c r="S14" s="1573">
        <f t="shared" ref="S14:S22" si="2">R14</f>
        <v>540</v>
      </c>
      <c r="T14" s="1001" t="s">
        <v>2007</v>
      </c>
      <c r="U14" s="1001" t="s">
        <v>147</v>
      </c>
      <c r="V14" s="1442"/>
      <c r="W14" s="1442"/>
      <c r="X14" s="1001" t="s">
        <v>2010</v>
      </c>
    </row>
    <row r="15" spans="1:24" ht="15.75">
      <c r="A15" s="1574">
        <v>3</v>
      </c>
      <c r="B15" s="1001" t="s">
        <v>2011</v>
      </c>
      <c r="C15" s="1579">
        <v>3000023856</v>
      </c>
      <c r="D15" s="1580">
        <v>42254</v>
      </c>
      <c r="E15" s="1575">
        <v>508.28</v>
      </c>
      <c r="F15" s="1001" t="s">
        <v>192</v>
      </c>
      <c r="G15" s="1428">
        <v>4</v>
      </c>
      <c r="H15" s="1574">
        <v>600</v>
      </c>
      <c r="I15" s="1573">
        <f t="shared" si="0"/>
        <v>582</v>
      </c>
      <c r="J15" s="1573">
        <v>710</v>
      </c>
      <c r="K15" s="1573">
        <f t="shared" si="1"/>
        <v>560.9</v>
      </c>
      <c r="L15" s="1575">
        <v>508.28</v>
      </c>
      <c r="M15" s="1575">
        <v>508.28</v>
      </c>
      <c r="N15" s="1576">
        <v>511</v>
      </c>
      <c r="O15" s="1576">
        <v>511</v>
      </c>
      <c r="P15" s="1577">
        <v>532</v>
      </c>
      <c r="Q15" s="1577">
        <v>532</v>
      </c>
      <c r="R15" s="1578">
        <v>600</v>
      </c>
      <c r="S15" s="1573">
        <f t="shared" si="2"/>
        <v>600</v>
      </c>
      <c r="T15" s="1001" t="s">
        <v>2007</v>
      </c>
      <c r="U15" s="1001" t="s">
        <v>150</v>
      </c>
      <c r="V15" s="1442"/>
      <c r="W15" s="1442"/>
      <c r="X15" s="1001" t="s">
        <v>2012</v>
      </c>
    </row>
    <row r="16" spans="1:24" ht="15.75">
      <c r="A16" s="1574">
        <v>4</v>
      </c>
      <c r="B16" s="1001" t="s">
        <v>2013</v>
      </c>
      <c r="C16" s="1579">
        <v>3000022799</v>
      </c>
      <c r="D16" s="1580">
        <v>42215</v>
      </c>
      <c r="E16" s="1575">
        <v>580.29</v>
      </c>
      <c r="F16" s="1001" t="s">
        <v>192</v>
      </c>
      <c r="G16" s="1428">
        <v>4</v>
      </c>
      <c r="H16" s="1574">
        <v>642</v>
      </c>
      <c r="I16" s="1573">
        <f t="shared" si="0"/>
        <v>622.74</v>
      </c>
      <c r="J16" s="1573">
        <v>765</v>
      </c>
      <c r="K16" s="1573">
        <f t="shared" si="1"/>
        <v>604.35</v>
      </c>
      <c r="L16" s="1575">
        <v>580.29</v>
      </c>
      <c r="M16" s="1575">
        <v>580.29</v>
      </c>
      <c r="N16" s="1576">
        <v>551</v>
      </c>
      <c r="O16" s="1576">
        <v>551</v>
      </c>
      <c r="P16" s="1577">
        <v>573</v>
      </c>
      <c r="Q16" s="1577">
        <v>573</v>
      </c>
      <c r="R16" s="1578">
        <v>650</v>
      </c>
      <c r="S16" s="1573">
        <f t="shared" si="2"/>
        <v>650</v>
      </c>
      <c r="T16" s="1001" t="s">
        <v>2007</v>
      </c>
      <c r="U16" s="1001" t="s">
        <v>152</v>
      </c>
      <c r="V16" s="1442"/>
      <c r="W16" s="1442"/>
      <c r="X16" s="1001" t="s">
        <v>2014</v>
      </c>
    </row>
    <row r="17" spans="1:27" ht="15.75">
      <c r="A17" s="1574">
        <v>5</v>
      </c>
      <c r="B17" s="1001" t="s">
        <v>2015</v>
      </c>
      <c r="C17" s="1579">
        <v>3000024159</v>
      </c>
      <c r="D17" s="1580">
        <v>42265</v>
      </c>
      <c r="E17" s="1575">
        <v>741.75</v>
      </c>
      <c r="F17" s="1001" t="s">
        <v>192</v>
      </c>
      <c r="G17" s="1428">
        <v>4</v>
      </c>
      <c r="H17" s="1574">
        <v>830</v>
      </c>
      <c r="I17" s="1573">
        <f t="shared" si="0"/>
        <v>805.1</v>
      </c>
      <c r="J17" s="1573">
        <v>990</v>
      </c>
      <c r="K17" s="1573">
        <f t="shared" si="1"/>
        <v>782.1</v>
      </c>
      <c r="L17" s="1575">
        <v>741.75</v>
      </c>
      <c r="M17" s="1575">
        <v>741.75</v>
      </c>
      <c r="N17" s="1576">
        <v>713</v>
      </c>
      <c r="O17" s="1576">
        <v>713</v>
      </c>
      <c r="P17" s="1577">
        <v>742</v>
      </c>
      <c r="Q17" s="1577">
        <v>742</v>
      </c>
      <c r="R17" s="1578">
        <v>840</v>
      </c>
      <c r="S17" s="1573">
        <f t="shared" si="2"/>
        <v>840</v>
      </c>
      <c r="T17" s="1001" t="s">
        <v>2007</v>
      </c>
      <c r="U17" s="1001" t="s">
        <v>140</v>
      </c>
      <c r="V17" s="1442"/>
      <c r="W17" s="1442"/>
      <c r="X17" s="1001" t="s">
        <v>2016</v>
      </c>
    </row>
    <row r="18" spans="1:27" ht="15.75">
      <c r="A18" s="1574">
        <v>6</v>
      </c>
      <c r="B18" s="1001" t="s">
        <v>2017</v>
      </c>
      <c r="C18" s="1579">
        <v>3000022799</v>
      </c>
      <c r="D18" s="1580">
        <v>42215</v>
      </c>
      <c r="E18" s="1575">
        <v>752.1</v>
      </c>
      <c r="F18" s="1001" t="s">
        <v>192</v>
      </c>
      <c r="G18" s="1428">
        <v>4</v>
      </c>
      <c r="H18" s="1574">
        <v>840</v>
      </c>
      <c r="I18" s="1573">
        <f t="shared" si="0"/>
        <v>814.8</v>
      </c>
      <c r="J18" s="1573">
        <v>1000</v>
      </c>
      <c r="K18" s="1573">
        <f t="shared" si="1"/>
        <v>790</v>
      </c>
      <c r="L18" s="1575">
        <v>752.1</v>
      </c>
      <c r="M18" s="1575">
        <v>752.1</v>
      </c>
      <c r="N18" s="1576">
        <v>720</v>
      </c>
      <c r="O18" s="1576">
        <v>720</v>
      </c>
      <c r="P18" s="1577">
        <v>750</v>
      </c>
      <c r="Q18" s="1577">
        <v>750</v>
      </c>
      <c r="R18" s="1578">
        <v>850</v>
      </c>
      <c r="S18" s="1573">
        <f t="shared" si="2"/>
        <v>850</v>
      </c>
      <c r="T18" s="1001" t="s">
        <v>2007</v>
      </c>
      <c r="U18" s="1001" t="s">
        <v>202</v>
      </c>
      <c r="V18" s="1442"/>
      <c r="W18" s="1442"/>
      <c r="X18" s="1001" t="s">
        <v>2018</v>
      </c>
    </row>
    <row r="19" spans="1:27" ht="15.75">
      <c r="A19" s="1574">
        <v>7</v>
      </c>
      <c r="B19" s="1001" t="s">
        <v>2019</v>
      </c>
      <c r="C19" s="1579">
        <v>3000023856</v>
      </c>
      <c r="D19" s="1580">
        <v>42254</v>
      </c>
      <c r="E19" s="1575">
        <v>855.36</v>
      </c>
      <c r="F19" s="1001" t="s">
        <v>192</v>
      </c>
      <c r="G19" s="1428">
        <v>4</v>
      </c>
      <c r="H19" s="1574">
        <v>910</v>
      </c>
      <c r="I19" s="1573">
        <f t="shared" si="0"/>
        <v>882.69999999999993</v>
      </c>
      <c r="J19" s="1573">
        <v>1080</v>
      </c>
      <c r="K19" s="1573">
        <f t="shared" si="1"/>
        <v>853.2</v>
      </c>
      <c r="L19" s="1575">
        <v>855.36</v>
      </c>
      <c r="M19" s="1575">
        <v>855.36</v>
      </c>
      <c r="N19" s="1576">
        <v>778</v>
      </c>
      <c r="O19" s="1576">
        <v>778</v>
      </c>
      <c r="P19" s="1577">
        <v>810</v>
      </c>
      <c r="Q19" s="1577">
        <v>810</v>
      </c>
      <c r="R19" s="1581">
        <v>920</v>
      </c>
      <c r="S19" s="1573">
        <f t="shared" si="2"/>
        <v>920</v>
      </c>
      <c r="T19" s="1001" t="s">
        <v>2007</v>
      </c>
      <c r="U19" s="1001" t="s">
        <v>204</v>
      </c>
      <c r="V19" s="1442"/>
      <c r="W19" s="1442"/>
      <c r="X19" s="1001" t="s">
        <v>2020</v>
      </c>
    </row>
    <row r="20" spans="1:27" ht="15.75">
      <c r="A20" s="1574">
        <v>8</v>
      </c>
      <c r="B20" s="1001" t="s">
        <v>2021</v>
      </c>
      <c r="C20" s="1579">
        <v>3000022799</v>
      </c>
      <c r="D20" s="1580">
        <v>42215</v>
      </c>
      <c r="E20" s="1575">
        <v>914.25</v>
      </c>
      <c r="F20" s="1001" t="s">
        <v>192</v>
      </c>
      <c r="G20" s="1428">
        <v>4</v>
      </c>
      <c r="H20" s="1574">
        <v>1010</v>
      </c>
      <c r="I20" s="1573">
        <f t="shared" si="0"/>
        <v>979.69999999999993</v>
      </c>
      <c r="J20" s="1573">
        <v>1205</v>
      </c>
      <c r="K20" s="1573">
        <f t="shared" si="1"/>
        <v>951.95</v>
      </c>
      <c r="L20" s="1575">
        <v>914.25</v>
      </c>
      <c r="M20" s="1575">
        <v>914.25</v>
      </c>
      <c r="N20" s="1576">
        <v>868</v>
      </c>
      <c r="O20" s="1576">
        <v>868</v>
      </c>
      <c r="P20" s="1577">
        <v>903</v>
      </c>
      <c r="Q20" s="1577">
        <v>903</v>
      </c>
      <c r="R20" s="1578">
        <v>1025</v>
      </c>
      <c r="S20" s="1573">
        <f t="shared" si="2"/>
        <v>1025</v>
      </c>
      <c r="T20" s="1001" t="s">
        <v>2007</v>
      </c>
      <c r="U20" s="1001" t="s">
        <v>206</v>
      </c>
      <c r="V20" s="1442"/>
      <c r="W20" s="1442"/>
      <c r="X20" s="1001" t="s">
        <v>2022</v>
      </c>
    </row>
    <row r="21" spans="1:27" ht="15.75">
      <c r="A21" s="1574">
        <v>9</v>
      </c>
      <c r="B21" s="1001" t="s">
        <v>2023</v>
      </c>
      <c r="C21" s="1582"/>
      <c r="D21" s="1583" t="e">
        <v>#N/A</v>
      </c>
      <c r="E21" s="1584" t="s">
        <v>332</v>
      </c>
      <c r="F21" s="1001" t="s">
        <v>192</v>
      </c>
      <c r="G21" s="1428">
        <v>2</v>
      </c>
      <c r="H21" s="1574">
        <v>2475</v>
      </c>
      <c r="I21" s="1573">
        <f t="shared" si="0"/>
        <v>2400.75</v>
      </c>
      <c r="J21" s="1573">
        <v>2945</v>
      </c>
      <c r="K21" s="1573">
        <f t="shared" si="1"/>
        <v>2326.5500000000002</v>
      </c>
      <c r="L21" s="1584">
        <v>2550</v>
      </c>
      <c r="M21" s="1584">
        <v>2550</v>
      </c>
      <c r="N21" s="1576">
        <v>2120</v>
      </c>
      <c r="O21" s="1576">
        <v>2120</v>
      </c>
      <c r="P21" s="1579">
        <v>2208</v>
      </c>
      <c r="Q21" s="1579">
        <v>2208</v>
      </c>
      <c r="R21" s="1578">
        <v>2500</v>
      </c>
      <c r="S21" s="1573">
        <f t="shared" si="2"/>
        <v>2500</v>
      </c>
      <c r="T21" s="1001" t="s">
        <v>2007</v>
      </c>
      <c r="U21" s="1001" t="s">
        <v>209</v>
      </c>
      <c r="V21" s="1442"/>
      <c r="W21" s="1442"/>
      <c r="X21" s="1001" t="s">
        <v>2024</v>
      </c>
    </row>
    <row r="22" spans="1:27" ht="15.75">
      <c r="A22" s="1574">
        <v>10</v>
      </c>
      <c r="B22" s="1001" t="s">
        <v>2025</v>
      </c>
      <c r="C22" s="1579">
        <v>3000004705</v>
      </c>
      <c r="D22" s="1580">
        <v>41601</v>
      </c>
      <c r="E22" s="1575">
        <v>1368.26</v>
      </c>
      <c r="F22" s="1001" t="s">
        <v>192</v>
      </c>
      <c r="G22" s="1428">
        <v>2</v>
      </c>
      <c r="H22" s="1574">
        <v>1600</v>
      </c>
      <c r="I22" s="1573">
        <f t="shared" si="0"/>
        <v>1552</v>
      </c>
      <c r="J22" s="1573">
        <v>1905</v>
      </c>
      <c r="K22" s="1573">
        <f t="shared" si="1"/>
        <v>1504.95</v>
      </c>
      <c r="L22" s="1575">
        <v>1368.26</v>
      </c>
      <c r="M22" s="1575">
        <v>1368.26</v>
      </c>
      <c r="N22" s="1576">
        <v>1372</v>
      </c>
      <c r="O22" s="1576">
        <v>1372</v>
      </c>
      <c r="P22" s="1577">
        <v>1428</v>
      </c>
      <c r="Q22" s="1577">
        <v>1428</v>
      </c>
      <c r="R22" s="1578">
        <v>1620</v>
      </c>
      <c r="S22" s="1573">
        <f t="shared" si="2"/>
        <v>1620</v>
      </c>
      <c r="T22" s="1001" t="s">
        <v>2007</v>
      </c>
      <c r="U22" s="1001" t="s">
        <v>212</v>
      </c>
      <c r="V22" s="1442"/>
      <c r="W22" s="1442"/>
      <c r="X22" s="1001" t="s">
        <v>2026</v>
      </c>
    </row>
    <row r="23" spans="1:27" ht="15">
      <c r="A23" s="1574"/>
      <c r="B23" s="1585"/>
      <c r="C23" s="1096"/>
      <c r="D23" s="1096"/>
      <c r="E23" s="1586"/>
      <c r="F23" s="1585"/>
      <c r="G23" s="1587"/>
      <c r="H23" s="1574"/>
      <c r="I23" s="1573"/>
      <c r="J23" s="1573"/>
      <c r="K23" s="1573"/>
      <c r="L23" s="1574"/>
      <c r="M23" s="1573"/>
      <c r="N23" s="1574"/>
      <c r="O23" s="1573"/>
      <c r="P23" s="1568"/>
      <c r="Q23" s="1588"/>
      <c r="R23" s="1589"/>
      <c r="S23" s="1568"/>
      <c r="T23" s="1585"/>
      <c r="U23" s="1585"/>
      <c r="V23" s="1442"/>
      <c r="W23" s="1442"/>
      <c r="X23" s="1585"/>
    </row>
    <row r="24" spans="1:27" s="954" customFormat="1" ht="13.5" thickBot="1">
      <c r="A24" s="1041" t="s">
        <v>58</v>
      </c>
      <c r="B24" s="1042"/>
      <c r="C24" s="1043"/>
      <c r="D24" s="1043"/>
      <c r="E24" s="373"/>
      <c r="F24" s="1045"/>
      <c r="G24" s="575">
        <f>SUM(G13:G22)</f>
        <v>36</v>
      </c>
      <c r="H24" s="1590">
        <f t="shared" ref="H24:S24" si="3">SUMPRODUCT(H13:H23, $G$13:$G$23)</f>
        <v>31498</v>
      </c>
      <c r="I24" s="1590">
        <f t="shared" si="3"/>
        <v>30553.059999999998</v>
      </c>
      <c r="J24" s="1590">
        <f t="shared" si="3"/>
        <v>37492</v>
      </c>
      <c r="K24" s="1590">
        <f t="shared" si="3"/>
        <v>29618.68</v>
      </c>
      <c r="L24" s="1590">
        <f t="shared" si="3"/>
        <v>28769</v>
      </c>
      <c r="M24" s="1590">
        <f t="shared" si="3"/>
        <v>28769</v>
      </c>
      <c r="N24" s="1590">
        <f t="shared" si="3"/>
        <v>27000</v>
      </c>
      <c r="O24" s="1590">
        <f t="shared" si="3"/>
        <v>27000</v>
      </c>
      <c r="P24" s="1590">
        <f t="shared" si="3"/>
        <v>28100</v>
      </c>
      <c r="Q24" s="1590">
        <f t="shared" si="3"/>
        <v>28100</v>
      </c>
      <c r="R24" s="1590">
        <f t="shared" si="3"/>
        <v>31840</v>
      </c>
      <c r="S24" s="1590">
        <f t="shared" si="3"/>
        <v>31840</v>
      </c>
      <c r="T24" s="432"/>
      <c r="U24" s="374"/>
      <c r="V24" s="373"/>
      <c r="X24" s="373"/>
      <c r="AA24" s="1047"/>
    </row>
    <row r="25" spans="1:27">
      <c r="A25" s="1704" t="s">
        <v>59</v>
      </c>
      <c r="B25" s="1705"/>
      <c r="C25" s="1048"/>
      <c r="D25" s="1048"/>
      <c r="E25" s="1049"/>
      <c r="F25" s="1048"/>
      <c r="G25" s="376"/>
      <c r="H25" s="1591"/>
      <c r="I25" s="1592">
        <v>0</v>
      </c>
      <c r="J25" s="1591"/>
      <c r="K25" s="1592"/>
      <c r="L25" s="1591"/>
      <c r="M25" s="1591"/>
      <c r="N25" s="1591"/>
      <c r="O25" s="1591"/>
      <c r="P25" s="1591"/>
      <c r="Q25" s="1591"/>
      <c r="R25" s="1591">
        <v>0</v>
      </c>
      <c r="S25" s="1591"/>
      <c r="T25" s="1050"/>
    </row>
    <row r="26" spans="1:27">
      <c r="A26" s="1539" t="s">
        <v>60</v>
      </c>
      <c r="B26" s="1540"/>
      <c r="C26" s="1593"/>
      <c r="D26" s="1593"/>
      <c r="E26" s="1049"/>
      <c r="F26" s="1048"/>
      <c r="G26" s="376"/>
      <c r="H26" s="382"/>
      <c r="I26" s="380" t="s">
        <v>61</v>
      </c>
      <c r="J26" s="382"/>
      <c r="K26" s="380" t="s">
        <v>61</v>
      </c>
      <c r="L26" s="382"/>
      <c r="M26" s="382"/>
      <c r="N26" s="382"/>
      <c r="O26" s="382"/>
      <c r="P26" s="382"/>
      <c r="Q26" s="382"/>
      <c r="R26" s="382"/>
      <c r="S26" s="382"/>
      <c r="T26" s="1050"/>
      <c r="X26" s="1050"/>
      <c r="Z26" s="1050"/>
    </row>
    <row r="27" spans="1:27">
      <c r="A27" s="1706" t="s">
        <v>62</v>
      </c>
      <c r="B27" s="1707"/>
      <c r="C27" s="1048"/>
      <c r="D27" s="1048"/>
      <c r="E27" s="1049"/>
      <c r="F27" s="1048"/>
      <c r="G27" s="376"/>
      <c r="H27" s="382"/>
      <c r="I27" s="380"/>
      <c r="J27" s="382"/>
      <c r="K27" s="380"/>
      <c r="L27" s="382">
        <v>500</v>
      </c>
      <c r="M27" s="382">
        <v>500</v>
      </c>
      <c r="N27" s="382"/>
      <c r="O27" s="382"/>
      <c r="P27" s="382"/>
      <c r="Q27" s="382"/>
      <c r="R27" s="382"/>
      <c r="S27" s="382"/>
    </row>
    <row r="28" spans="1:27" ht="12.95" customHeight="1">
      <c r="A28" s="1053" t="s">
        <v>63</v>
      </c>
      <c r="B28" s="1054"/>
      <c r="C28" s="1054"/>
      <c r="D28" s="1054"/>
      <c r="E28" s="1055"/>
      <c r="F28" s="1054"/>
      <c r="G28" s="1056"/>
      <c r="H28" s="1057"/>
      <c r="I28" s="1057"/>
      <c r="J28" s="1057"/>
      <c r="K28" s="1057"/>
      <c r="L28" s="1057"/>
      <c r="M28" s="1057"/>
      <c r="N28" s="1057"/>
      <c r="O28" s="1057"/>
      <c r="P28" s="1057"/>
      <c r="Q28" s="1057"/>
      <c r="R28" s="1057"/>
      <c r="S28" s="1057"/>
    </row>
    <row r="29" spans="1:27" ht="12.95" customHeight="1">
      <c r="A29" s="1053"/>
      <c r="B29" s="1054" t="s">
        <v>64</v>
      </c>
      <c r="C29" s="1058"/>
      <c r="D29" s="1058"/>
      <c r="E29" s="1055"/>
      <c r="F29" s="1058"/>
      <c r="G29" s="1059"/>
      <c r="H29" s="386">
        <f t="shared" ref="H29" si="4">(H24+H25+H26+H27)*H28</f>
        <v>0</v>
      </c>
      <c r="I29" s="384">
        <f t="shared" ref="I29" si="5">(I24+I25+I27)*I28</f>
        <v>0</v>
      </c>
      <c r="J29" s="386">
        <f t="shared" ref="J29" si="6">(J24+J25+J26+J27)*J28</f>
        <v>0</v>
      </c>
      <c r="K29" s="384">
        <f t="shared" ref="K29" si="7">(K24+K25+K27)*K28</f>
        <v>0</v>
      </c>
      <c r="L29" s="386"/>
      <c r="M29" s="386"/>
      <c r="N29" s="386"/>
      <c r="O29" s="386"/>
      <c r="P29" s="386"/>
      <c r="Q29" s="386"/>
      <c r="R29" s="386"/>
      <c r="S29" s="386"/>
    </row>
    <row r="30" spans="1:27">
      <c r="A30" s="1706" t="s">
        <v>65</v>
      </c>
      <c r="B30" s="1707"/>
      <c r="C30" s="1058"/>
      <c r="D30" s="1058"/>
      <c r="E30" s="1055"/>
      <c r="F30" s="1060"/>
      <c r="G30" s="1061"/>
      <c r="H30" s="387">
        <v>0.06</v>
      </c>
      <c r="I30" s="387">
        <v>0.06</v>
      </c>
      <c r="J30" s="387">
        <v>0.06</v>
      </c>
      <c r="K30" s="387">
        <v>0.06</v>
      </c>
      <c r="L30" s="387">
        <v>0.06</v>
      </c>
      <c r="M30" s="387">
        <v>0.06</v>
      </c>
      <c r="N30" s="387">
        <v>0.06</v>
      </c>
      <c r="O30" s="387">
        <v>0.06</v>
      </c>
      <c r="P30" s="387">
        <v>0.06</v>
      </c>
      <c r="Q30" s="387">
        <v>0.06</v>
      </c>
      <c r="R30" s="387">
        <v>0.06</v>
      </c>
      <c r="S30" s="387">
        <v>0.06</v>
      </c>
    </row>
    <row r="31" spans="1:27" ht="12.95" customHeight="1">
      <c r="A31" s="1539"/>
      <c r="B31" s="1540" t="s">
        <v>66</v>
      </c>
      <c r="C31" s="1058"/>
      <c r="D31" s="1058"/>
      <c r="E31" s="1055"/>
      <c r="F31" s="1060"/>
      <c r="G31" s="1061"/>
      <c r="H31" s="386">
        <f t="shared" ref="H31" si="8">(H29+H25+H26+H27+H24)*H30</f>
        <v>1889.8799999999999</v>
      </c>
      <c r="I31" s="384">
        <f t="shared" ref="I31" si="9">(I29+I25+I27+I24)*I30</f>
        <v>1833.1835999999998</v>
      </c>
      <c r="J31" s="386">
        <f t="shared" ref="J31" si="10">(J29+J25+J26+J27+J24)*J30</f>
        <v>2249.52</v>
      </c>
      <c r="K31" s="384">
        <f t="shared" ref="K31:S31" si="11">(K29+K25+K27+K24)*K30</f>
        <v>1777.1207999999999</v>
      </c>
      <c r="L31" s="384">
        <f t="shared" si="11"/>
        <v>1756.1399999999999</v>
      </c>
      <c r="M31" s="384">
        <f t="shared" si="11"/>
        <v>1756.1399999999999</v>
      </c>
      <c r="N31" s="384">
        <f t="shared" si="11"/>
        <v>1620</v>
      </c>
      <c r="O31" s="384">
        <f t="shared" si="11"/>
        <v>1620</v>
      </c>
      <c r="P31" s="384">
        <f t="shared" si="11"/>
        <v>1686</v>
      </c>
      <c r="Q31" s="384">
        <f t="shared" si="11"/>
        <v>1686</v>
      </c>
      <c r="R31" s="384">
        <f t="shared" si="11"/>
        <v>1910.3999999999999</v>
      </c>
      <c r="S31" s="384">
        <f t="shared" si="11"/>
        <v>1910.3999999999999</v>
      </c>
    </row>
    <row r="32" spans="1:27" ht="12.95" customHeight="1">
      <c r="A32" s="1539" t="s">
        <v>67</v>
      </c>
      <c r="B32" s="1540"/>
      <c r="C32" s="1058"/>
      <c r="D32" s="1058"/>
      <c r="E32" s="1055"/>
      <c r="F32" s="1060"/>
      <c r="G32" s="1061"/>
      <c r="H32" s="387"/>
      <c r="I32" s="387"/>
      <c r="J32" s="387"/>
      <c r="K32" s="387"/>
      <c r="L32" s="387"/>
      <c r="M32" s="387"/>
      <c r="N32" s="387"/>
      <c r="O32" s="387"/>
      <c r="P32" s="387"/>
      <c r="Q32" s="387"/>
      <c r="R32" s="387"/>
      <c r="S32" s="387"/>
    </row>
    <row r="33" spans="1:24" ht="12.95" customHeight="1">
      <c r="A33" s="1539"/>
      <c r="B33" s="1540" t="s">
        <v>68</v>
      </c>
      <c r="C33" s="1058"/>
      <c r="D33" s="1058"/>
      <c r="E33" s="1055"/>
      <c r="F33" s="1060"/>
      <c r="G33" s="1061"/>
      <c r="H33" s="386">
        <f t="shared" ref="H33" si="12">(H29+H25+H26+H27+H24)*H32</f>
        <v>0</v>
      </c>
      <c r="I33" s="384">
        <f t="shared" ref="I33" si="13">(I29+I25+I27+I24)*I32</f>
        <v>0</v>
      </c>
      <c r="J33" s="386">
        <f t="shared" ref="J33" si="14">(J29+J25+J26+J27+J24)*J32</f>
        <v>0</v>
      </c>
      <c r="K33" s="384">
        <f t="shared" ref="K33" si="15">(K29+K25+K27+K24)*K32</f>
        <v>0</v>
      </c>
      <c r="L33" s="386"/>
      <c r="M33" s="386"/>
      <c r="N33" s="386"/>
      <c r="O33" s="386"/>
      <c r="P33" s="386"/>
      <c r="Q33" s="386"/>
      <c r="R33" s="386"/>
      <c r="S33" s="386"/>
    </row>
    <row r="34" spans="1:24" ht="12.95" customHeight="1">
      <c r="A34" s="1706" t="s">
        <v>69</v>
      </c>
      <c r="B34" s="1707"/>
      <c r="C34" s="1058"/>
      <c r="D34" s="1058"/>
      <c r="E34" s="1055"/>
      <c r="F34" s="1062"/>
      <c r="G34" s="1061"/>
      <c r="H34" s="389"/>
      <c r="I34" s="387"/>
      <c r="J34" s="389"/>
      <c r="K34" s="387"/>
      <c r="L34" s="389"/>
      <c r="M34" s="389"/>
      <c r="N34" s="389"/>
      <c r="O34" s="389"/>
      <c r="P34" s="389"/>
      <c r="Q34" s="389"/>
      <c r="R34" s="389"/>
      <c r="S34" s="389"/>
    </row>
    <row r="35" spans="1:24" ht="12.95" customHeight="1">
      <c r="A35" s="1541"/>
      <c r="B35" s="1542" t="s">
        <v>70</v>
      </c>
      <c r="C35" s="1065"/>
      <c r="D35" s="1065"/>
      <c r="E35" s="1066"/>
      <c r="F35" s="1067"/>
      <c r="G35" s="1068"/>
      <c r="H35" s="386">
        <f t="shared" ref="H35:K35" si="16">H24*H34</f>
        <v>0</v>
      </c>
      <c r="I35" s="384">
        <f t="shared" si="16"/>
        <v>0</v>
      </c>
      <c r="J35" s="386">
        <f t="shared" si="16"/>
        <v>0</v>
      </c>
      <c r="K35" s="384">
        <f t="shared" si="16"/>
        <v>0</v>
      </c>
      <c r="L35" s="386"/>
      <c r="M35" s="386"/>
      <c r="N35" s="386"/>
      <c r="O35" s="386"/>
      <c r="P35" s="386"/>
      <c r="Q35" s="386"/>
      <c r="R35" s="386"/>
      <c r="S35" s="386"/>
    </row>
    <row r="36" spans="1:24" ht="13.5" thickBot="1">
      <c r="A36" s="1708"/>
      <c r="B36" s="1709"/>
      <c r="C36" s="1065"/>
      <c r="D36" s="1065"/>
      <c r="E36" s="1066"/>
      <c r="F36" s="1065"/>
      <c r="G36" s="391"/>
      <c r="H36" s="394"/>
      <c r="I36" s="392"/>
      <c r="J36" s="394"/>
      <c r="K36" s="392"/>
      <c r="L36" s="394"/>
      <c r="M36" s="394"/>
      <c r="N36" s="394"/>
      <c r="O36" s="394"/>
      <c r="P36" s="394"/>
      <c r="Q36" s="394"/>
      <c r="R36" s="394"/>
      <c r="S36" s="394"/>
    </row>
    <row r="37" spans="1:24" ht="13.5" thickBot="1">
      <c r="A37" s="1069" t="s">
        <v>71</v>
      </c>
      <c r="B37" s="1070"/>
      <c r="C37" s="1070"/>
      <c r="D37" s="1070"/>
      <c r="E37" s="1071"/>
      <c r="F37" s="1070"/>
      <c r="G37" s="1072"/>
      <c r="H37" s="1073">
        <f>SUM(H24,H25,H27,H29,H31)</f>
        <v>33387.879999999997</v>
      </c>
      <c r="I37" s="1074">
        <f t="shared" ref="I37" si="17">SUM(I24:I36)</f>
        <v>32386.303599999999</v>
      </c>
      <c r="J37" s="1073">
        <f>SUM(J24,J25,J27,J29,J31)</f>
        <v>39741.519999999997</v>
      </c>
      <c r="K37" s="1074">
        <f t="shared" ref="K37:S37" si="18">SUM(K24:K36)</f>
        <v>31395.860800000002</v>
      </c>
      <c r="L37" s="1074">
        <f t="shared" si="18"/>
        <v>31025.200000000001</v>
      </c>
      <c r="M37" s="1074">
        <f t="shared" si="18"/>
        <v>31025.200000000001</v>
      </c>
      <c r="N37" s="1074">
        <f t="shared" si="18"/>
        <v>28620.06</v>
      </c>
      <c r="O37" s="1074">
        <f t="shared" si="18"/>
        <v>28620.06</v>
      </c>
      <c r="P37" s="1074">
        <f t="shared" si="18"/>
        <v>29786.06</v>
      </c>
      <c r="Q37" s="1074">
        <f t="shared" si="18"/>
        <v>29786.06</v>
      </c>
      <c r="R37" s="1074">
        <f t="shared" si="18"/>
        <v>33750.46</v>
      </c>
      <c r="S37" s="1074">
        <f t="shared" si="18"/>
        <v>33750.46</v>
      </c>
    </row>
    <row r="38" spans="1:24" s="1080" customFormat="1" ht="13.5" thickBot="1">
      <c r="A38" s="1075"/>
      <c r="B38" s="1076"/>
      <c r="C38" s="1076"/>
      <c r="D38" s="1076"/>
      <c r="E38" s="1077"/>
      <c r="F38" s="1076"/>
      <c r="G38" s="1076"/>
      <c r="H38" s="1078"/>
      <c r="I38" s="1079"/>
      <c r="J38" s="1078"/>
      <c r="K38" s="1079"/>
      <c r="L38" s="1079"/>
      <c r="M38" s="1079"/>
      <c r="N38" s="1079"/>
      <c r="O38" s="1079"/>
      <c r="P38" s="1079"/>
      <c r="Q38" s="1079"/>
      <c r="R38" s="1079"/>
      <c r="S38" s="1079"/>
    </row>
    <row r="39" spans="1:24" s="954" customFormat="1" ht="13.5" thickBot="1">
      <c r="A39" s="1069" t="s">
        <v>72</v>
      </c>
      <c r="B39" s="1070"/>
      <c r="C39" s="1070"/>
      <c r="D39" s="1070"/>
      <c r="E39" s="1071"/>
      <c r="F39" s="1070"/>
      <c r="G39" s="1072"/>
      <c r="H39" s="1074">
        <f t="shared" ref="H39:K39" si="19">H24+H33+H25</f>
        <v>31498</v>
      </c>
      <c r="I39" s="1074">
        <f t="shared" si="19"/>
        <v>30553.059999999998</v>
      </c>
      <c r="J39" s="1074">
        <f t="shared" si="19"/>
        <v>37492</v>
      </c>
      <c r="K39" s="1074">
        <f t="shared" si="19"/>
        <v>29618.68</v>
      </c>
      <c r="L39" s="1074">
        <f>L24+L33+L25+L27</f>
        <v>29269</v>
      </c>
      <c r="M39" s="1074">
        <f>M24+M33+M25+M27</f>
        <v>29269</v>
      </c>
      <c r="N39" s="1074">
        <f t="shared" ref="N39:S39" si="20">N24+N33+N25</f>
        <v>27000</v>
      </c>
      <c r="O39" s="1074">
        <f t="shared" si="20"/>
        <v>27000</v>
      </c>
      <c r="P39" s="1074">
        <f t="shared" si="20"/>
        <v>28100</v>
      </c>
      <c r="Q39" s="1074">
        <f t="shared" si="20"/>
        <v>28100</v>
      </c>
      <c r="R39" s="1074">
        <f t="shared" si="20"/>
        <v>31840</v>
      </c>
      <c r="S39" s="1074">
        <f t="shared" si="20"/>
        <v>31840</v>
      </c>
      <c r="X39" s="1594"/>
    </row>
    <row r="40" spans="1:24" ht="13.5" thickBot="1">
      <c r="A40" s="1082"/>
      <c r="B40" s="1083" t="s">
        <v>1305</v>
      </c>
      <c r="C40" s="1084"/>
      <c r="D40" s="1084"/>
      <c r="E40" s="1083"/>
      <c r="F40" s="1084"/>
      <c r="G40" s="397"/>
      <c r="H40" s="1022"/>
      <c r="I40" s="1085"/>
      <c r="J40" s="1022"/>
      <c r="K40" s="1085"/>
      <c r="L40" s="1085"/>
      <c r="M40" s="1085"/>
      <c r="N40" s="1085"/>
      <c r="O40" s="1085"/>
      <c r="P40" s="1085"/>
      <c r="Q40" s="1085"/>
      <c r="R40" s="1085"/>
      <c r="S40" s="1085"/>
    </row>
    <row r="41" spans="1:24">
      <c r="A41" s="1086" t="s">
        <v>73</v>
      </c>
      <c r="B41" s="1087" t="s">
        <v>74</v>
      </c>
      <c r="C41" s="1088"/>
      <c r="D41" s="1088"/>
      <c r="E41" s="1089"/>
      <c r="F41" s="1088"/>
      <c r="G41" s="399"/>
      <c r="H41" s="1090" t="s">
        <v>2027</v>
      </c>
      <c r="I41" s="1090" t="s">
        <v>2027</v>
      </c>
      <c r="J41" s="1090" t="s">
        <v>1593</v>
      </c>
      <c r="K41" s="1090" t="s">
        <v>1593</v>
      </c>
      <c r="L41" s="1090" t="s">
        <v>2027</v>
      </c>
      <c r="M41" s="1090" t="s">
        <v>2027</v>
      </c>
      <c r="N41" s="1090" t="s">
        <v>2027</v>
      </c>
      <c r="O41" s="1090" t="s">
        <v>2027</v>
      </c>
      <c r="P41" s="1090" t="s">
        <v>2027</v>
      </c>
      <c r="Q41" s="1090" t="s">
        <v>2027</v>
      </c>
      <c r="R41" s="1090" t="s">
        <v>2027</v>
      </c>
      <c r="S41" s="1090" t="s">
        <v>2027</v>
      </c>
    </row>
    <row r="42" spans="1:24" ht="13.5" thickBot="1">
      <c r="A42" s="1091" t="s">
        <v>79</v>
      </c>
      <c r="B42" s="1092" t="s">
        <v>80</v>
      </c>
      <c r="C42" s="1093"/>
      <c r="D42" s="1093"/>
      <c r="E42" s="1094"/>
      <c r="F42" s="1093"/>
      <c r="G42" s="401"/>
      <c r="H42" s="1096" t="s">
        <v>82</v>
      </c>
      <c r="I42" s="1096" t="s">
        <v>82</v>
      </c>
      <c r="J42" s="1095" t="s">
        <v>82</v>
      </c>
      <c r="K42" s="1095" t="s">
        <v>82</v>
      </c>
      <c r="L42" s="1095" t="s">
        <v>166</v>
      </c>
      <c r="M42" s="1095">
        <v>500</v>
      </c>
      <c r="N42" s="1095" t="s">
        <v>82</v>
      </c>
      <c r="O42" s="1095" t="s">
        <v>82</v>
      </c>
      <c r="P42" s="1095" t="s">
        <v>82</v>
      </c>
      <c r="Q42" s="1095" t="s">
        <v>82</v>
      </c>
      <c r="R42" s="1095" t="s">
        <v>82</v>
      </c>
      <c r="S42" s="1095" t="s">
        <v>82</v>
      </c>
    </row>
    <row r="43" spans="1:24" ht="25.5">
      <c r="A43" s="1097" t="s">
        <v>85</v>
      </c>
      <c r="B43" s="1098" t="s">
        <v>86</v>
      </c>
      <c r="C43" s="1099"/>
      <c r="D43" s="1099"/>
      <c r="E43" s="1098"/>
      <c r="F43" s="1099"/>
      <c r="G43" s="402"/>
      <c r="H43" s="1100" t="s">
        <v>281</v>
      </c>
      <c r="I43" s="1100" t="s">
        <v>281</v>
      </c>
      <c r="J43" s="1100" t="s">
        <v>281</v>
      </c>
      <c r="K43" s="1100" t="s">
        <v>281</v>
      </c>
      <c r="L43" s="1100" t="s">
        <v>281</v>
      </c>
      <c r="M43" s="1100" t="s">
        <v>281</v>
      </c>
      <c r="N43" s="1100" t="s">
        <v>281</v>
      </c>
      <c r="O43" s="1100" t="s">
        <v>281</v>
      </c>
      <c r="P43" s="1100" t="s">
        <v>281</v>
      </c>
      <c r="Q43" s="1100" t="s">
        <v>281</v>
      </c>
      <c r="R43" s="1100" t="s">
        <v>281</v>
      </c>
      <c r="S43" s="1100" t="s">
        <v>281</v>
      </c>
    </row>
    <row r="44" spans="1:24">
      <c r="A44" s="1101" t="s">
        <v>90</v>
      </c>
      <c r="B44" s="1099" t="s">
        <v>91</v>
      </c>
      <c r="C44" s="1099"/>
      <c r="D44" s="1099"/>
      <c r="E44" s="1098"/>
      <c r="F44" s="1099"/>
      <c r="G44" s="402"/>
      <c r="H44" s="1102" t="s">
        <v>332</v>
      </c>
      <c r="I44" s="1102" t="s">
        <v>332</v>
      </c>
      <c r="J44" s="1102" t="s">
        <v>332</v>
      </c>
      <c r="K44" s="1102" t="s">
        <v>332</v>
      </c>
      <c r="L44" s="1102" t="s">
        <v>332</v>
      </c>
      <c r="M44" s="1102" t="s">
        <v>332</v>
      </c>
      <c r="N44" s="1102" t="s">
        <v>332</v>
      </c>
      <c r="O44" s="1102" t="s">
        <v>332</v>
      </c>
      <c r="P44" s="1102" t="s">
        <v>332</v>
      </c>
      <c r="Q44" s="1102" t="s">
        <v>332</v>
      </c>
      <c r="R44" s="1102" t="s">
        <v>332</v>
      </c>
      <c r="S44" s="1102" t="s">
        <v>332</v>
      </c>
    </row>
    <row r="45" spans="1:24" ht="39.950000000000003" customHeight="1">
      <c r="A45" s="1101" t="s">
        <v>93</v>
      </c>
      <c r="B45" s="1098" t="s">
        <v>94</v>
      </c>
      <c r="C45" s="1099"/>
      <c r="D45" s="1099"/>
      <c r="E45" s="1098"/>
      <c r="F45" s="1099"/>
      <c r="G45" s="402"/>
      <c r="H45" s="1332" t="s">
        <v>332</v>
      </c>
      <c r="I45" s="1333" t="s">
        <v>332</v>
      </c>
      <c r="J45" s="1332" t="s">
        <v>332</v>
      </c>
      <c r="K45" s="1333" t="s">
        <v>332</v>
      </c>
      <c r="L45" s="1332" t="s">
        <v>332</v>
      </c>
      <c r="M45" s="1333" t="s">
        <v>332</v>
      </c>
      <c r="N45" s="1332" t="s">
        <v>332</v>
      </c>
      <c r="O45" s="1333" t="s">
        <v>332</v>
      </c>
      <c r="P45" s="1332" t="s">
        <v>332</v>
      </c>
      <c r="Q45" s="1333" t="s">
        <v>332</v>
      </c>
      <c r="R45" s="1332" t="s">
        <v>332</v>
      </c>
      <c r="S45" s="1333" t="s">
        <v>332</v>
      </c>
    </row>
    <row r="46" spans="1:24" ht="178.5">
      <c r="A46" s="1101" t="s">
        <v>95</v>
      </c>
      <c r="B46" s="1098" t="s">
        <v>96</v>
      </c>
      <c r="C46" s="1099"/>
      <c r="D46" s="1099"/>
      <c r="E46" s="1098"/>
      <c r="F46" s="1099"/>
      <c r="G46" s="402"/>
      <c r="H46" s="1100" t="s">
        <v>97</v>
      </c>
      <c r="I46" s="1100" t="s">
        <v>98</v>
      </c>
      <c r="J46" s="1100" t="s">
        <v>97</v>
      </c>
      <c r="K46" s="1100" t="s">
        <v>98</v>
      </c>
      <c r="L46" s="1100" t="s">
        <v>97</v>
      </c>
      <c r="M46" s="1100" t="s">
        <v>98</v>
      </c>
      <c r="N46" s="1100" t="s">
        <v>97</v>
      </c>
      <c r="O46" s="1100" t="s">
        <v>98</v>
      </c>
      <c r="P46" s="1100" t="s">
        <v>97</v>
      </c>
      <c r="Q46" s="1100" t="s">
        <v>98</v>
      </c>
      <c r="R46" s="1100" t="s">
        <v>97</v>
      </c>
      <c r="S46" s="1100" t="s">
        <v>98</v>
      </c>
    </row>
    <row r="47" spans="1:24" ht="77.25" thickBot="1">
      <c r="A47" s="1104" t="s">
        <v>99</v>
      </c>
      <c r="B47" s="1105" t="s">
        <v>100</v>
      </c>
      <c r="C47" s="1106"/>
      <c r="D47" s="1106"/>
      <c r="E47" s="1105"/>
      <c r="F47" s="1106"/>
      <c r="G47" s="403"/>
      <c r="H47" s="1096" t="s">
        <v>101</v>
      </c>
      <c r="I47" s="1334" t="s">
        <v>101</v>
      </c>
      <c r="J47" s="1334" t="s">
        <v>101</v>
      </c>
      <c r="K47" s="1334" t="s">
        <v>101</v>
      </c>
      <c r="L47" s="1334" t="s">
        <v>101</v>
      </c>
      <c r="M47" s="1334" t="s">
        <v>101</v>
      </c>
      <c r="N47" s="1334" t="s">
        <v>101</v>
      </c>
      <c r="O47" s="1334" t="s">
        <v>101</v>
      </c>
      <c r="P47" s="1334" t="s">
        <v>101</v>
      </c>
      <c r="Q47" s="1334" t="s">
        <v>101</v>
      </c>
      <c r="R47" s="1334" t="s">
        <v>101</v>
      </c>
      <c r="S47" s="1334" t="s">
        <v>101</v>
      </c>
    </row>
    <row r="48" spans="1:24" ht="30" customHeight="1">
      <c r="A48" s="1710" t="s">
        <v>102</v>
      </c>
      <c r="B48" s="1711"/>
      <c r="C48" s="1712"/>
      <c r="D48" s="1543"/>
      <c r="E48" s="1107"/>
      <c r="F48" s="1695" t="s">
        <v>103</v>
      </c>
      <c r="G48" s="1696"/>
      <c r="H48" s="1696"/>
      <c r="I48" s="1698" t="s">
        <v>104</v>
      </c>
      <c r="J48" s="1699"/>
      <c r="K48" s="1699"/>
      <c r="L48" s="1699"/>
      <c r="M48" s="1699"/>
      <c r="N48" s="1699"/>
      <c r="O48" s="1699"/>
      <c r="P48" s="1699"/>
      <c r="Q48" s="1699"/>
      <c r="R48" s="1699"/>
      <c r="S48" s="1700"/>
    </row>
    <row r="49" spans="1:19" ht="13.5" thickBot="1">
      <c r="A49" s="1710"/>
      <c r="B49" s="1711"/>
      <c r="C49" s="1712"/>
      <c r="D49" s="1543"/>
      <c r="E49" s="1107"/>
      <c r="F49" s="1695"/>
      <c r="G49" s="1696"/>
      <c r="H49" s="1696"/>
      <c r="I49" s="1701"/>
      <c r="J49" s="1702"/>
      <c r="K49" s="1702"/>
      <c r="L49" s="1702"/>
      <c r="M49" s="1702"/>
      <c r="N49" s="1702"/>
      <c r="O49" s="1702"/>
      <c r="P49" s="1702"/>
      <c r="Q49" s="1702"/>
      <c r="R49" s="1702"/>
      <c r="S49" s="1703"/>
    </row>
    <row r="50" spans="1:19" ht="13.5" thickBot="1">
      <c r="A50" s="1108"/>
      <c r="B50" s="1109"/>
      <c r="C50" s="1110"/>
      <c r="D50" s="1110"/>
      <c r="E50" s="1109"/>
      <c r="F50" s="1110"/>
      <c r="G50" s="406"/>
      <c r="H50" s="1110"/>
      <c r="I50" s="1595"/>
      <c r="J50" s="1596"/>
      <c r="K50" s="1596"/>
      <c r="L50" s="1596"/>
      <c r="M50" s="1596"/>
      <c r="N50" s="1596"/>
      <c r="O50" s="1596"/>
      <c r="P50" s="1596"/>
      <c r="Q50" s="1596"/>
      <c r="R50" s="1596"/>
      <c r="S50" s="1597"/>
    </row>
    <row r="51" spans="1:19">
      <c r="A51" s="1112"/>
      <c r="B51" s="1113"/>
      <c r="C51" s="1111"/>
      <c r="D51" s="1111"/>
      <c r="E51" s="1113"/>
      <c r="F51" s="1111"/>
      <c r="G51" s="407"/>
      <c r="H51" s="1111"/>
      <c r="I51" s="1111"/>
      <c r="J51" s="1111"/>
      <c r="K51" s="1111"/>
      <c r="L51" s="1111"/>
      <c r="M51" s="1111"/>
      <c r="N51" s="1111"/>
      <c r="O51" s="1111"/>
      <c r="P51" s="1111"/>
      <c r="Q51" s="1111"/>
      <c r="R51" s="1111"/>
      <c r="S51" s="1111"/>
    </row>
    <row r="52" spans="1:19">
      <c r="A52" s="1112"/>
      <c r="B52" s="972" t="s">
        <v>105</v>
      </c>
      <c r="C52" s="974"/>
      <c r="D52" s="974"/>
      <c r="E52" s="972"/>
      <c r="F52" s="974"/>
      <c r="G52" s="974" t="s">
        <v>106</v>
      </c>
      <c r="H52" s="974"/>
      <c r="I52" s="974"/>
      <c r="J52" s="974" t="s">
        <v>107</v>
      </c>
      <c r="K52" s="1111"/>
      <c r="L52" s="1111"/>
      <c r="M52" s="1111"/>
      <c r="N52" s="1111"/>
      <c r="O52" s="1111"/>
      <c r="P52" s="1111"/>
      <c r="Q52" s="1111"/>
      <c r="R52" s="1111"/>
      <c r="S52" s="1111"/>
    </row>
    <row r="53" spans="1:19" ht="13.5" thickBot="1">
      <c r="A53" s="1114"/>
      <c r="B53" s="1115"/>
      <c r="C53" s="1116"/>
      <c r="D53" s="1116"/>
      <c r="E53" s="1115"/>
      <c r="F53" s="1116"/>
      <c r="G53" s="1116"/>
      <c r="H53" s="1116"/>
      <c r="I53" s="1116"/>
      <c r="J53" s="1116"/>
      <c r="K53" s="1116"/>
      <c r="L53" s="1116"/>
      <c r="M53" s="1116"/>
      <c r="N53" s="1116"/>
      <c r="O53" s="1116"/>
      <c r="P53" s="1116"/>
      <c r="Q53" s="1116"/>
      <c r="R53" s="1116"/>
      <c r="S53" s="1116"/>
    </row>
  </sheetData>
  <mergeCells count="42">
    <mergeCell ref="A2:S2"/>
    <mergeCell ref="A3:S3"/>
    <mergeCell ref="G4:G5"/>
    <mergeCell ref="A7:A12"/>
    <mergeCell ref="B7:B12"/>
    <mergeCell ref="C7:C12"/>
    <mergeCell ref="E7:E12"/>
    <mergeCell ref="F7:F12"/>
    <mergeCell ref="G7:G12"/>
    <mergeCell ref="H7:I7"/>
    <mergeCell ref="J7:K7"/>
    <mergeCell ref="L7:M7"/>
    <mergeCell ref="N7:O7"/>
    <mergeCell ref="P7:Q7"/>
    <mergeCell ref="R7:S7"/>
    <mergeCell ref="R8:S9"/>
    <mergeCell ref="H8:I9"/>
    <mergeCell ref="J8:K9"/>
    <mergeCell ref="L8:M9"/>
    <mergeCell ref="N8:O9"/>
    <mergeCell ref="P8:Q9"/>
    <mergeCell ref="V10:W10"/>
    <mergeCell ref="H11:I11"/>
    <mergeCell ref="J11:K11"/>
    <mergeCell ref="L11:M11"/>
    <mergeCell ref="N11:O11"/>
    <mergeCell ref="P11:Q11"/>
    <mergeCell ref="R11:S11"/>
    <mergeCell ref="R10:S10"/>
    <mergeCell ref="H10:I10"/>
    <mergeCell ref="J10:K10"/>
    <mergeCell ref="L10:M10"/>
    <mergeCell ref="N10:O10"/>
    <mergeCell ref="P10:Q10"/>
    <mergeCell ref="F48:H49"/>
    <mergeCell ref="I48:S49"/>
    <mergeCell ref="A25:B25"/>
    <mergeCell ref="A27:B27"/>
    <mergeCell ref="A30:B30"/>
    <mergeCell ref="A34:B34"/>
    <mergeCell ref="A36:B36"/>
    <mergeCell ref="A48:C49"/>
  </mergeCells>
  <pageMargins left="0.25" right="0.25" top="0.75" bottom="0.75" header="0.3" footer="0.3"/>
  <pageSetup scale="5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30"/>
  <sheetViews>
    <sheetView workbookViewId="0">
      <selection activeCell="F22" sqref="F22"/>
    </sheetView>
  </sheetViews>
  <sheetFormatPr defaultRowHeight="12.75"/>
  <cols>
    <col min="1" max="1" width="7" style="1554" bestFit="1" customWidth="1"/>
    <col min="2" max="2" width="15" style="1554" bestFit="1" customWidth="1"/>
    <col min="3" max="3" width="21" style="1554" bestFit="1" customWidth="1"/>
    <col min="4" max="4" width="10" style="1554" bestFit="1" customWidth="1"/>
    <col min="5" max="5" width="27" style="1554" bestFit="1" customWidth="1"/>
    <col min="6" max="6" width="38" style="1554" bestFit="1" customWidth="1"/>
    <col min="7" max="7" width="10" style="1554" bestFit="1" customWidth="1"/>
    <col min="8" max="8" width="11" style="1554" bestFit="1" customWidth="1"/>
    <col min="9" max="9" width="17" style="1554" bestFit="1" customWidth="1"/>
    <col min="10" max="10" width="12" style="1554" bestFit="1" customWidth="1"/>
    <col min="11" max="11" width="17" style="1554" bestFit="1" customWidth="1"/>
    <col min="12" max="12" width="12" style="1554" bestFit="1" customWidth="1"/>
    <col min="13" max="13" width="13" style="1554" bestFit="1" customWidth="1"/>
    <col min="14" max="14" width="16" style="1554" bestFit="1" customWidth="1"/>
    <col min="15" max="15" width="12" style="1554" bestFit="1" customWidth="1"/>
    <col min="16" max="16384" width="9.140625" style="1554"/>
  </cols>
  <sheetData>
    <row r="1" spans="1:15" ht="25.5">
      <c r="A1" s="1554" t="s">
        <v>1951</v>
      </c>
      <c r="B1" s="1554" t="s">
        <v>1952</v>
      </c>
      <c r="C1" s="1554" t="s">
        <v>1953</v>
      </c>
      <c r="D1" s="1554" t="s">
        <v>404</v>
      </c>
      <c r="E1" s="1554" t="s">
        <v>405</v>
      </c>
      <c r="F1" s="1554" t="s">
        <v>1470</v>
      </c>
      <c r="G1" s="1554" t="s">
        <v>1954</v>
      </c>
      <c r="H1" s="1554" t="s">
        <v>1468</v>
      </c>
      <c r="I1" s="1554" t="s">
        <v>1955</v>
      </c>
      <c r="J1" s="1554" t="s">
        <v>1956</v>
      </c>
      <c r="K1" s="1555" t="s">
        <v>1957</v>
      </c>
      <c r="L1" s="1555" t="s">
        <v>1958</v>
      </c>
      <c r="M1" s="1555" t="s">
        <v>1959</v>
      </c>
      <c r="N1" s="1555" t="s">
        <v>1960</v>
      </c>
      <c r="O1" s="1555" t="s">
        <v>1961</v>
      </c>
    </row>
    <row r="2" spans="1:15">
      <c r="A2" s="1554" t="s">
        <v>423</v>
      </c>
      <c r="B2" s="1556">
        <v>42829</v>
      </c>
      <c r="C2" s="1554" t="s">
        <v>1962</v>
      </c>
      <c r="D2" s="1554" t="s">
        <v>1963</v>
      </c>
      <c r="E2" s="1554" t="s">
        <v>1964</v>
      </c>
      <c r="F2" s="1554" t="s">
        <v>1965</v>
      </c>
      <c r="G2" s="1554" t="s">
        <v>515</v>
      </c>
      <c r="H2" s="1557">
        <v>282</v>
      </c>
      <c r="I2" s="1558">
        <v>18</v>
      </c>
      <c r="J2" s="1554" t="s">
        <v>134</v>
      </c>
      <c r="K2" s="1558">
        <v>18</v>
      </c>
      <c r="L2" s="1554" t="s">
        <v>134</v>
      </c>
      <c r="M2" s="1554" t="s">
        <v>423</v>
      </c>
      <c r="N2" s="1558">
        <v>18</v>
      </c>
      <c r="O2" s="1554" t="s">
        <v>430</v>
      </c>
    </row>
    <row r="3" spans="1:15">
      <c r="A3" s="1554" t="s">
        <v>1966</v>
      </c>
      <c r="B3" s="1556">
        <v>42664</v>
      </c>
      <c r="C3" s="1554" t="s">
        <v>1967</v>
      </c>
      <c r="D3" s="1554" t="s">
        <v>1963</v>
      </c>
      <c r="E3" s="1554" t="s">
        <v>1964</v>
      </c>
      <c r="F3" s="1554" t="s">
        <v>1965</v>
      </c>
      <c r="G3" s="1554" t="s">
        <v>515</v>
      </c>
      <c r="H3" s="1557">
        <v>259</v>
      </c>
      <c r="I3" s="1559">
        <v>6.44</v>
      </c>
      <c r="J3" s="1554" t="s">
        <v>134</v>
      </c>
      <c r="K3" s="1558">
        <v>0</v>
      </c>
      <c r="L3" s="1554" t="s">
        <v>134</v>
      </c>
      <c r="M3" s="1554" t="s">
        <v>423</v>
      </c>
      <c r="N3" s="1558">
        <v>0</v>
      </c>
      <c r="O3" s="1554" t="s">
        <v>430</v>
      </c>
    </row>
    <row r="4" spans="1:15">
      <c r="A4" s="1554" t="s">
        <v>1968</v>
      </c>
      <c r="B4" s="1556">
        <v>42167</v>
      </c>
      <c r="C4" s="1554" t="s">
        <v>1915</v>
      </c>
      <c r="D4" s="1554" t="s">
        <v>1963</v>
      </c>
      <c r="E4" s="1554" t="s">
        <v>1964</v>
      </c>
      <c r="F4" s="1554" t="s">
        <v>1969</v>
      </c>
      <c r="G4" s="1554" t="s">
        <v>515</v>
      </c>
      <c r="H4" s="1557">
        <v>654</v>
      </c>
      <c r="I4" s="1559">
        <v>41.7</v>
      </c>
      <c r="J4" s="1554" t="s">
        <v>134</v>
      </c>
      <c r="K4" s="1558">
        <v>0</v>
      </c>
      <c r="L4" s="1554" t="s">
        <v>134</v>
      </c>
      <c r="M4" s="1554" t="s">
        <v>423</v>
      </c>
      <c r="N4" s="1558">
        <v>0</v>
      </c>
      <c r="O4" s="1554" t="s">
        <v>430</v>
      </c>
    </row>
    <row r="5" spans="1:15">
      <c r="A5" s="1554" t="s">
        <v>423</v>
      </c>
      <c r="B5" s="1556">
        <v>42131</v>
      </c>
      <c r="C5" s="1554" t="s">
        <v>1918</v>
      </c>
      <c r="D5" s="1554" t="s">
        <v>1963</v>
      </c>
      <c r="E5" s="1554" t="s">
        <v>1964</v>
      </c>
      <c r="F5" s="1554" t="s">
        <v>1969</v>
      </c>
      <c r="G5" s="1554" t="s">
        <v>515</v>
      </c>
      <c r="H5" s="1557">
        <v>654</v>
      </c>
      <c r="I5" s="1558">
        <v>18</v>
      </c>
      <c r="J5" s="1554" t="s">
        <v>134</v>
      </c>
      <c r="K5" s="1558">
        <v>0</v>
      </c>
      <c r="L5" s="1554" t="s">
        <v>134</v>
      </c>
      <c r="M5" s="1554" t="s">
        <v>423</v>
      </c>
      <c r="N5" s="1558">
        <v>0</v>
      </c>
      <c r="O5" s="1554" t="s">
        <v>430</v>
      </c>
    </row>
    <row r="6" spans="1:15">
      <c r="A6" s="1554" t="s">
        <v>423</v>
      </c>
      <c r="B6" s="1556">
        <v>42131</v>
      </c>
      <c r="C6" s="1554" t="s">
        <v>1918</v>
      </c>
      <c r="D6" s="1554" t="s">
        <v>1963</v>
      </c>
      <c r="E6" s="1554" t="s">
        <v>1964</v>
      </c>
      <c r="F6" s="1554" t="s">
        <v>1969</v>
      </c>
      <c r="G6" s="1554" t="s">
        <v>515</v>
      </c>
      <c r="H6" s="1557">
        <v>654</v>
      </c>
      <c r="I6" s="1559">
        <v>34.799999999999997</v>
      </c>
      <c r="J6" s="1554" t="s">
        <v>134</v>
      </c>
      <c r="K6" s="1558">
        <v>0</v>
      </c>
      <c r="L6" s="1554" t="s">
        <v>134</v>
      </c>
      <c r="M6" s="1554" t="s">
        <v>423</v>
      </c>
      <c r="N6" s="1558">
        <v>0</v>
      </c>
      <c r="O6" s="1554" t="s">
        <v>430</v>
      </c>
    </row>
    <row r="7" spans="1:15">
      <c r="A7" s="1554" t="s">
        <v>423</v>
      </c>
      <c r="B7" s="1556">
        <v>42131</v>
      </c>
      <c r="C7" s="1554" t="s">
        <v>1970</v>
      </c>
      <c r="D7" s="1554" t="s">
        <v>1963</v>
      </c>
      <c r="E7" s="1554" t="s">
        <v>1964</v>
      </c>
      <c r="F7" s="1554" t="s">
        <v>1969</v>
      </c>
      <c r="G7" s="1554" t="s">
        <v>515</v>
      </c>
      <c r="H7" s="1557">
        <v>0</v>
      </c>
      <c r="I7" s="1558">
        <v>1</v>
      </c>
      <c r="J7" s="1554" t="s">
        <v>134</v>
      </c>
      <c r="K7" s="1558">
        <v>0</v>
      </c>
      <c r="L7" s="1554" t="s">
        <v>134</v>
      </c>
      <c r="M7" s="1554" t="s">
        <v>423</v>
      </c>
      <c r="N7" s="1558">
        <v>0</v>
      </c>
      <c r="O7" s="1554" t="s">
        <v>430</v>
      </c>
    </row>
    <row r="8" spans="1:15">
      <c r="A8" s="1554" t="s">
        <v>423</v>
      </c>
      <c r="B8" s="1556">
        <v>42131</v>
      </c>
      <c r="C8" s="1554" t="s">
        <v>1970</v>
      </c>
      <c r="D8" s="1554" t="s">
        <v>1963</v>
      </c>
      <c r="E8" s="1554" t="s">
        <v>1964</v>
      </c>
      <c r="F8" s="1554" t="s">
        <v>1969</v>
      </c>
      <c r="G8" s="1554" t="s">
        <v>515</v>
      </c>
      <c r="H8" s="1557">
        <v>0</v>
      </c>
      <c r="I8" s="1558">
        <v>1</v>
      </c>
      <c r="J8" s="1554" t="s">
        <v>134</v>
      </c>
      <c r="K8" s="1558">
        <v>0</v>
      </c>
      <c r="L8" s="1554" t="s">
        <v>134</v>
      </c>
      <c r="M8" s="1554" t="s">
        <v>423</v>
      </c>
      <c r="N8" s="1558">
        <v>0</v>
      </c>
      <c r="O8" s="1554" t="s">
        <v>430</v>
      </c>
    </row>
    <row r="9" spans="1:15">
      <c r="A9" s="1554" t="s">
        <v>423</v>
      </c>
      <c r="B9" s="1556">
        <v>41746</v>
      </c>
      <c r="C9" s="1554" t="s">
        <v>1923</v>
      </c>
      <c r="D9" s="1554" t="s">
        <v>1963</v>
      </c>
      <c r="E9" s="1554" t="s">
        <v>1964</v>
      </c>
      <c r="F9" s="1554" t="s">
        <v>1969</v>
      </c>
      <c r="G9" s="1554" t="s">
        <v>515</v>
      </c>
      <c r="H9" s="1557">
        <v>654</v>
      </c>
      <c r="I9" s="1558">
        <v>12</v>
      </c>
      <c r="J9" s="1554" t="s">
        <v>134</v>
      </c>
      <c r="K9" s="1558">
        <v>0</v>
      </c>
      <c r="L9" s="1554" t="s">
        <v>134</v>
      </c>
      <c r="M9" s="1554" t="s">
        <v>423</v>
      </c>
      <c r="N9" s="1558">
        <v>0</v>
      </c>
      <c r="O9" s="1554" t="s">
        <v>1971</v>
      </c>
    </row>
    <row r="10" spans="1:15">
      <c r="A10" s="1554" t="s">
        <v>423</v>
      </c>
      <c r="B10" s="1556">
        <v>42829</v>
      </c>
      <c r="C10" s="1554" t="s">
        <v>1962</v>
      </c>
      <c r="D10" s="1554" t="s">
        <v>1972</v>
      </c>
      <c r="E10" s="1554" t="s">
        <v>1899</v>
      </c>
      <c r="F10" s="1554" t="s">
        <v>1965</v>
      </c>
      <c r="G10" s="1554" t="s">
        <v>515</v>
      </c>
      <c r="H10" s="1557">
        <v>1061</v>
      </c>
      <c r="I10" s="1558">
        <v>6</v>
      </c>
      <c r="J10" s="1554" t="s">
        <v>134</v>
      </c>
      <c r="K10" s="1558">
        <v>6</v>
      </c>
      <c r="L10" s="1554" t="s">
        <v>134</v>
      </c>
      <c r="M10" s="1554" t="s">
        <v>423</v>
      </c>
      <c r="N10" s="1558">
        <v>6</v>
      </c>
      <c r="O10" s="1554" t="s">
        <v>430</v>
      </c>
    </row>
    <row r="11" spans="1:15">
      <c r="A11" s="1554" t="s">
        <v>1966</v>
      </c>
      <c r="B11" s="1556">
        <v>42620</v>
      </c>
      <c r="C11" s="1554" t="s">
        <v>1973</v>
      </c>
      <c r="D11" s="1554" t="s">
        <v>1972</v>
      </c>
      <c r="E11" s="1554" t="s">
        <v>1899</v>
      </c>
      <c r="F11" s="1554" t="s">
        <v>1965</v>
      </c>
      <c r="G11" s="1554" t="s">
        <v>515</v>
      </c>
      <c r="H11" s="1557">
        <v>884</v>
      </c>
      <c r="I11" s="1558">
        <v>88</v>
      </c>
      <c r="J11" s="1554" t="s">
        <v>134</v>
      </c>
      <c r="K11" s="1558">
        <v>0</v>
      </c>
      <c r="L11" s="1554" t="s">
        <v>134</v>
      </c>
      <c r="M11" s="1554" t="s">
        <v>423</v>
      </c>
      <c r="N11" s="1558">
        <v>0</v>
      </c>
      <c r="O11" s="1554" t="s">
        <v>430</v>
      </c>
    </row>
    <row r="12" spans="1:15">
      <c r="A12" s="1554" t="s">
        <v>1968</v>
      </c>
      <c r="B12" s="1556">
        <v>42167</v>
      </c>
      <c r="C12" s="1554" t="s">
        <v>1915</v>
      </c>
      <c r="D12" s="1554" t="s">
        <v>1972</v>
      </c>
      <c r="E12" s="1554" t="s">
        <v>1899</v>
      </c>
      <c r="F12" s="1554" t="s">
        <v>1969</v>
      </c>
      <c r="G12" s="1554" t="s">
        <v>515</v>
      </c>
      <c r="H12" s="1557">
        <v>2052</v>
      </c>
      <c r="I12" s="1559">
        <v>99.45</v>
      </c>
      <c r="J12" s="1554" t="s">
        <v>134</v>
      </c>
      <c r="K12" s="1558">
        <v>0</v>
      </c>
      <c r="L12" s="1554" t="s">
        <v>134</v>
      </c>
      <c r="M12" s="1554" t="s">
        <v>423</v>
      </c>
      <c r="N12" s="1558">
        <v>0</v>
      </c>
      <c r="O12" s="1554" t="s">
        <v>430</v>
      </c>
    </row>
    <row r="13" spans="1:15">
      <c r="A13" s="1554" t="s">
        <v>423</v>
      </c>
      <c r="B13" s="1556">
        <v>41746</v>
      </c>
      <c r="C13" s="1554" t="s">
        <v>1923</v>
      </c>
      <c r="D13" s="1554" t="s">
        <v>1972</v>
      </c>
      <c r="E13" s="1554" t="s">
        <v>1899</v>
      </c>
      <c r="F13" s="1554" t="s">
        <v>1969</v>
      </c>
      <c r="G13" s="1554" t="s">
        <v>515</v>
      </c>
      <c r="H13" s="1557">
        <v>2052</v>
      </c>
      <c r="I13" s="1558">
        <v>6</v>
      </c>
      <c r="J13" s="1554" t="s">
        <v>134</v>
      </c>
      <c r="K13" s="1558">
        <v>0</v>
      </c>
      <c r="L13" s="1554" t="s">
        <v>134</v>
      </c>
      <c r="M13" s="1554" t="s">
        <v>423</v>
      </c>
      <c r="N13" s="1558">
        <v>0</v>
      </c>
      <c r="O13" s="1554" t="s">
        <v>1971</v>
      </c>
    </row>
    <row r="14" spans="1:15">
      <c r="A14" s="1554" t="s">
        <v>423</v>
      </c>
      <c r="B14" s="1556">
        <v>42829</v>
      </c>
      <c r="C14" s="1554" t="s">
        <v>1962</v>
      </c>
      <c r="D14" s="1554" t="s">
        <v>1974</v>
      </c>
      <c r="E14" s="1554" t="s">
        <v>1903</v>
      </c>
      <c r="F14" s="1554" t="s">
        <v>1965</v>
      </c>
      <c r="G14" s="1554" t="s">
        <v>515</v>
      </c>
      <c r="H14" s="1557">
        <v>364</v>
      </c>
      <c r="I14" s="1558">
        <v>24</v>
      </c>
      <c r="J14" s="1554" t="s">
        <v>134</v>
      </c>
      <c r="K14" s="1558">
        <v>24</v>
      </c>
      <c r="L14" s="1554" t="s">
        <v>134</v>
      </c>
      <c r="M14" s="1554" t="s">
        <v>423</v>
      </c>
      <c r="N14" s="1558">
        <v>24</v>
      </c>
      <c r="O14" s="1554" t="s">
        <v>430</v>
      </c>
    </row>
    <row r="15" spans="1:15">
      <c r="A15" s="1554" t="s">
        <v>1966</v>
      </c>
      <c r="B15" s="1556">
        <v>42704</v>
      </c>
      <c r="C15" s="1554" t="s">
        <v>1975</v>
      </c>
      <c r="D15" s="1554" t="s">
        <v>1974</v>
      </c>
      <c r="E15" s="1554" t="s">
        <v>1903</v>
      </c>
      <c r="F15" s="1554" t="s">
        <v>1976</v>
      </c>
      <c r="G15" s="1554" t="s">
        <v>515</v>
      </c>
      <c r="H15" s="1557">
        <v>309</v>
      </c>
      <c r="I15" s="1558">
        <v>6</v>
      </c>
      <c r="J15" s="1554" t="s">
        <v>134</v>
      </c>
      <c r="K15" s="1558">
        <v>0</v>
      </c>
      <c r="L15" s="1554" t="s">
        <v>134</v>
      </c>
      <c r="M15" s="1554" t="s">
        <v>423</v>
      </c>
      <c r="N15" s="1558">
        <v>0</v>
      </c>
      <c r="O15" s="1554" t="s">
        <v>430</v>
      </c>
    </row>
    <row r="16" spans="1:15">
      <c r="A16" s="1554" t="s">
        <v>1966</v>
      </c>
      <c r="B16" s="1556">
        <v>42664</v>
      </c>
      <c r="C16" s="1554" t="s">
        <v>1967</v>
      </c>
      <c r="D16" s="1554" t="s">
        <v>1974</v>
      </c>
      <c r="E16" s="1554" t="s">
        <v>1903</v>
      </c>
      <c r="F16" s="1554" t="s">
        <v>1965</v>
      </c>
      <c r="G16" s="1554" t="s">
        <v>515</v>
      </c>
      <c r="H16" s="1557">
        <v>309</v>
      </c>
      <c r="I16" s="1558">
        <v>18</v>
      </c>
      <c r="J16" s="1554" t="s">
        <v>134</v>
      </c>
      <c r="K16" s="1558">
        <v>0</v>
      </c>
      <c r="L16" s="1554" t="s">
        <v>134</v>
      </c>
      <c r="M16" s="1554" t="s">
        <v>423</v>
      </c>
      <c r="N16" s="1558">
        <v>0</v>
      </c>
      <c r="O16" s="1554" t="s">
        <v>430</v>
      </c>
    </row>
    <row r="17" spans="1:15">
      <c r="A17" s="1554" t="s">
        <v>1966</v>
      </c>
      <c r="B17" s="1556">
        <v>42620</v>
      </c>
      <c r="C17" s="1554" t="s">
        <v>1973</v>
      </c>
      <c r="D17" s="1554" t="s">
        <v>1974</v>
      </c>
      <c r="E17" s="1554" t="s">
        <v>1903</v>
      </c>
      <c r="F17" s="1554" t="s">
        <v>1965</v>
      </c>
      <c r="G17" s="1554" t="s">
        <v>515</v>
      </c>
      <c r="H17" s="1557">
        <v>309</v>
      </c>
      <c r="I17" s="1558">
        <v>6</v>
      </c>
      <c r="J17" s="1554" t="s">
        <v>134</v>
      </c>
      <c r="K17" s="1558">
        <v>0</v>
      </c>
      <c r="L17" s="1554" t="s">
        <v>134</v>
      </c>
      <c r="M17" s="1554" t="s">
        <v>423</v>
      </c>
      <c r="N17" s="1558">
        <v>0</v>
      </c>
      <c r="O17" s="1554" t="s">
        <v>430</v>
      </c>
    </row>
    <row r="18" spans="1:15">
      <c r="A18" s="1554" t="s">
        <v>1968</v>
      </c>
      <c r="B18" s="1556">
        <v>42258</v>
      </c>
      <c r="C18" s="1554" t="s">
        <v>1977</v>
      </c>
      <c r="D18" s="1554" t="s">
        <v>1974</v>
      </c>
      <c r="E18" s="1554" t="s">
        <v>1903</v>
      </c>
      <c r="F18" s="1554" t="s">
        <v>1969</v>
      </c>
      <c r="G18" s="1554" t="s">
        <v>515</v>
      </c>
      <c r="H18" s="1557">
        <v>702</v>
      </c>
      <c r="I18" s="1558">
        <v>30</v>
      </c>
      <c r="J18" s="1554" t="s">
        <v>134</v>
      </c>
      <c r="K18" s="1558">
        <v>0</v>
      </c>
      <c r="L18" s="1554" t="s">
        <v>134</v>
      </c>
      <c r="M18" s="1554" t="s">
        <v>423</v>
      </c>
      <c r="N18" s="1558">
        <v>0</v>
      </c>
      <c r="O18" s="1554" t="s">
        <v>430</v>
      </c>
    </row>
    <row r="19" spans="1:15">
      <c r="A19" s="1554" t="s">
        <v>423</v>
      </c>
      <c r="B19" s="1556">
        <v>42137</v>
      </c>
      <c r="C19" s="1554" t="s">
        <v>1978</v>
      </c>
      <c r="D19" s="1554" t="s">
        <v>1974</v>
      </c>
      <c r="E19" s="1554" t="s">
        <v>1903</v>
      </c>
      <c r="F19" s="1554" t="s">
        <v>1969</v>
      </c>
      <c r="G19" s="1554" t="s">
        <v>515</v>
      </c>
      <c r="H19" s="1557">
        <v>702</v>
      </c>
      <c r="I19" s="1558">
        <v>29</v>
      </c>
      <c r="J19" s="1554" t="s">
        <v>192</v>
      </c>
      <c r="K19" s="1558">
        <v>0</v>
      </c>
      <c r="L19" s="1554" t="s">
        <v>134</v>
      </c>
      <c r="M19" s="1554" t="s">
        <v>423</v>
      </c>
      <c r="N19" s="1558">
        <v>0</v>
      </c>
      <c r="O19" s="1554" t="s">
        <v>430</v>
      </c>
    </row>
    <row r="20" spans="1:15">
      <c r="A20" s="1554" t="s">
        <v>423</v>
      </c>
      <c r="B20" s="1556">
        <v>42137</v>
      </c>
      <c r="C20" s="1554" t="s">
        <v>1978</v>
      </c>
      <c r="D20" s="1554" t="s">
        <v>1974</v>
      </c>
      <c r="E20" s="1554" t="s">
        <v>1903</v>
      </c>
      <c r="F20" s="1554" t="s">
        <v>1969</v>
      </c>
      <c r="G20" s="1554" t="s">
        <v>515</v>
      </c>
      <c r="H20" s="1557">
        <v>702</v>
      </c>
      <c r="I20" s="1559">
        <v>11.6</v>
      </c>
      <c r="J20" s="1554" t="s">
        <v>192</v>
      </c>
      <c r="K20" s="1558">
        <v>0</v>
      </c>
      <c r="L20" s="1554" t="s">
        <v>134</v>
      </c>
      <c r="M20" s="1554" t="s">
        <v>423</v>
      </c>
      <c r="N20" s="1558">
        <v>0</v>
      </c>
      <c r="O20" s="1554" t="s">
        <v>430</v>
      </c>
    </row>
    <row r="21" spans="1:15">
      <c r="A21" s="1554" t="s">
        <v>423</v>
      </c>
      <c r="B21" s="1556">
        <v>42137</v>
      </c>
      <c r="C21" s="1554" t="s">
        <v>1978</v>
      </c>
      <c r="D21" s="1554" t="s">
        <v>1974</v>
      </c>
      <c r="E21" s="1554" t="s">
        <v>1903</v>
      </c>
      <c r="F21" s="1554" t="s">
        <v>1969</v>
      </c>
      <c r="G21" s="1554" t="s">
        <v>515</v>
      </c>
      <c r="H21" s="1557">
        <v>702</v>
      </c>
      <c r="I21" s="1558">
        <v>29</v>
      </c>
      <c r="J21" s="1554" t="s">
        <v>134</v>
      </c>
      <c r="K21" s="1558">
        <v>0</v>
      </c>
      <c r="L21" s="1554" t="s">
        <v>134</v>
      </c>
      <c r="M21" s="1554" t="s">
        <v>423</v>
      </c>
      <c r="N21" s="1558">
        <v>0</v>
      </c>
      <c r="O21" s="1554" t="s">
        <v>430</v>
      </c>
    </row>
    <row r="22" spans="1:15">
      <c r="A22" s="1554" t="s">
        <v>423</v>
      </c>
      <c r="B22" s="1556">
        <v>42137</v>
      </c>
      <c r="C22" s="1554" t="s">
        <v>1978</v>
      </c>
      <c r="D22" s="1554" t="s">
        <v>1974</v>
      </c>
      <c r="E22" s="1554" t="s">
        <v>1903</v>
      </c>
      <c r="F22" s="1554" t="s">
        <v>1969</v>
      </c>
      <c r="G22" s="1554" t="s">
        <v>515</v>
      </c>
      <c r="H22" s="1557">
        <v>702</v>
      </c>
      <c r="I22" s="1559">
        <v>11.6</v>
      </c>
      <c r="J22" s="1554" t="s">
        <v>134</v>
      </c>
      <c r="K22" s="1558">
        <v>0</v>
      </c>
      <c r="L22" s="1554" t="s">
        <v>134</v>
      </c>
      <c r="M22" s="1554" t="s">
        <v>423</v>
      </c>
      <c r="N22" s="1558">
        <v>0</v>
      </c>
      <c r="O22" s="1554" t="s">
        <v>430</v>
      </c>
    </row>
    <row r="23" spans="1:15">
      <c r="A23" s="1554" t="s">
        <v>423</v>
      </c>
      <c r="B23" s="1556">
        <v>42131</v>
      </c>
      <c r="C23" s="1554" t="s">
        <v>1918</v>
      </c>
      <c r="D23" s="1554" t="s">
        <v>1974</v>
      </c>
      <c r="E23" s="1554" t="s">
        <v>1903</v>
      </c>
      <c r="F23" s="1554" t="s">
        <v>1969</v>
      </c>
      <c r="G23" s="1554" t="s">
        <v>515</v>
      </c>
      <c r="H23" s="1557">
        <v>702</v>
      </c>
      <c r="I23" s="1558">
        <v>11</v>
      </c>
      <c r="J23" s="1554" t="s">
        <v>192</v>
      </c>
      <c r="K23" s="1558">
        <v>0</v>
      </c>
      <c r="L23" s="1554" t="s">
        <v>192</v>
      </c>
      <c r="M23" s="1554" t="s">
        <v>423</v>
      </c>
      <c r="N23" s="1558">
        <v>0</v>
      </c>
      <c r="O23" s="1554" t="s">
        <v>430</v>
      </c>
    </row>
    <row r="24" spans="1:15">
      <c r="A24" s="1554" t="s">
        <v>423</v>
      </c>
      <c r="B24" s="1556">
        <v>42131</v>
      </c>
      <c r="C24" s="1554" t="s">
        <v>1918</v>
      </c>
      <c r="D24" s="1554" t="s">
        <v>1974</v>
      </c>
      <c r="E24" s="1554" t="s">
        <v>1903</v>
      </c>
      <c r="F24" s="1554" t="s">
        <v>1969</v>
      </c>
      <c r="G24" s="1554" t="s">
        <v>515</v>
      </c>
      <c r="H24" s="1557">
        <v>702</v>
      </c>
      <c r="I24" s="1558">
        <v>29</v>
      </c>
      <c r="J24" s="1554" t="s">
        <v>192</v>
      </c>
      <c r="K24" s="1558">
        <v>0</v>
      </c>
      <c r="L24" s="1554" t="s">
        <v>192</v>
      </c>
      <c r="M24" s="1554" t="s">
        <v>423</v>
      </c>
      <c r="N24" s="1558">
        <v>0</v>
      </c>
      <c r="O24" s="1554" t="s">
        <v>430</v>
      </c>
    </row>
    <row r="25" spans="1:15">
      <c r="A25" s="1554" t="s">
        <v>423</v>
      </c>
      <c r="B25" s="1556">
        <v>42131</v>
      </c>
      <c r="C25" s="1554" t="s">
        <v>1970</v>
      </c>
      <c r="D25" s="1554" t="s">
        <v>1974</v>
      </c>
      <c r="E25" s="1554" t="s">
        <v>1903</v>
      </c>
      <c r="F25" s="1554" t="s">
        <v>1969</v>
      </c>
      <c r="G25" s="1554" t="s">
        <v>515</v>
      </c>
      <c r="H25" s="1557">
        <v>0</v>
      </c>
      <c r="I25" s="1558">
        <v>1</v>
      </c>
      <c r="J25" s="1554" t="s">
        <v>192</v>
      </c>
      <c r="K25" s="1558">
        <v>0</v>
      </c>
      <c r="L25" s="1554" t="s">
        <v>192</v>
      </c>
      <c r="M25" s="1554" t="s">
        <v>423</v>
      </c>
      <c r="N25" s="1558">
        <v>0</v>
      </c>
      <c r="O25" s="1554" t="s">
        <v>430</v>
      </c>
    </row>
    <row r="26" spans="1:15">
      <c r="A26" s="1554" t="s">
        <v>423</v>
      </c>
      <c r="B26" s="1556">
        <v>42131</v>
      </c>
      <c r="C26" s="1554" t="s">
        <v>1970</v>
      </c>
      <c r="D26" s="1554" t="s">
        <v>1974</v>
      </c>
      <c r="E26" s="1554" t="s">
        <v>1903</v>
      </c>
      <c r="F26" s="1554" t="s">
        <v>1969</v>
      </c>
      <c r="G26" s="1554" t="s">
        <v>515</v>
      </c>
      <c r="H26" s="1557">
        <v>0</v>
      </c>
      <c r="I26" s="1558">
        <v>1</v>
      </c>
      <c r="J26" s="1554" t="s">
        <v>192</v>
      </c>
      <c r="K26" s="1558">
        <v>0</v>
      </c>
      <c r="L26" s="1554" t="s">
        <v>192</v>
      </c>
      <c r="M26" s="1554" t="s">
        <v>423</v>
      </c>
      <c r="N26" s="1558">
        <v>0</v>
      </c>
      <c r="O26" s="1554" t="s">
        <v>430</v>
      </c>
    </row>
    <row r="27" spans="1:15">
      <c r="G27" s="1554">
        <f>(702-364)*24</f>
        <v>8112</v>
      </c>
    </row>
    <row r="28" spans="1:15">
      <c r="G28" s="1554">
        <f>(654-282)*18</f>
        <v>6696</v>
      </c>
    </row>
    <row r="29" spans="1:15">
      <c r="G29" s="1554">
        <f>(2052-1061)*6</f>
        <v>5946</v>
      </c>
    </row>
    <row r="30" spans="1:15">
      <c r="G30" s="1560">
        <f>SUM(G27:G29)</f>
        <v>20754</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opLeftCell="A4" workbookViewId="0">
      <selection activeCell="F20" activeCellId="2" sqref="F14:F16 F19 F20"/>
    </sheetView>
  </sheetViews>
  <sheetFormatPr defaultRowHeight="12.75"/>
  <cols>
    <col min="1" max="1" width="6.140625" style="956" customWidth="1"/>
    <col min="2" max="2" width="52.7109375" style="973" customWidth="1"/>
    <col min="3" max="3" width="11.7109375" style="956" customWidth="1"/>
    <col min="4" max="4" width="10.140625" style="956" customWidth="1"/>
    <col min="5" max="5" width="6.140625" style="956" customWidth="1"/>
    <col min="6" max="6" width="12.7109375" style="1460" customWidth="1"/>
    <col min="7" max="7" width="20.5703125" style="956" customWidth="1"/>
    <col min="8" max="8" width="18.85546875" style="956" customWidth="1"/>
    <col min="9" max="9" width="17.7109375" style="956" customWidth="1"/>
    <col min="10" max="10" width="14.7109375" style="956" customWidth="1"/>
    <col min="11" max="11" width="14.85546875" style="956" customWidth="1"/>
    <col min="12" max="12" width="18" style="956" customWidth="1"/>
    <col min="13" max="13" width="12.28515625" style="956" customWidth="1"/>
    <col min="14" max="14" width="13" style="956" customWidth="1"/>
    <col min="15" max="249" width="9.140625" style="956"/>
    <col min="250" max="250" width="4" style="956" customWidth="1"/>
    <col min="251" max="251" width="30.7109375" style="956" customWidth="1"/>
    <col min="252" max="253" width="10" style="956" customWidth="1"/>
    <col min="254" max="254" width="9.85546875" style="956" customWidth="1"/>
    <col min="255" max="255" width="12.42578125" style="956" customWidth="1"/>
    <col min="256" max="261" width="12.7109375" style="956" customWidth="1"/>
    <col min="262" max="262" width="13" style="956" customWidth="1"/>
    <col min="263" max="264" width="12.7109375" style="956" customWidth="1"/>
    <col min="265" max="265" width="9.140625" style="956"/>
    <col min="266" max="266" width="11.140625" style="956" bestFit="1" customWidth="1"/>
    <col min="267" max="505" width="9.140625" style="956"/>
    <col min="506" max="506" width="4" style="956" customWidth="1"/>
    <col min="507" max="507" width="30.7109375" style="956" customWidth="1"/>
    <col min="508" max="509" width="10" style="956" customWidth="1"/>
    <col min="510" max="510" width="9.85546875" style="956" customWidth="1"/>
    <col min="511" max="511" width="12.42578125" style="956" customWidth="1"/>
    <col min="512" max="517" width="12.7109375" style="956" customWidth="1"/>
    <col min="518" max="518" width="13" style="956" customWidth="1"/>
    <col min="519" max="520" width="12.7109375" style="956" customWidth="1"/>
    <col min="521" max="521" width="9.140625" style="956"/>
    <col min="522" max="522" width="11.140625" style="956" bestFit="1" customWidth="1"/>
    <col min="523" max="761" width="9.140625" style="956"/>
    <col min="762" max="762" width="4" style="956" customWidth="1"/>
    <col min="763" max="763" width="30.7109375" style="956" customWidth="1"/>
    <col min="764" max="765" width="10" style="956" customWidth="1"/>
    <col min="766" max="766" width="9.85546875" style="956" customWidth="1"/>
    <col min="767" max="767" width="12.42578125" style="956" customWidth="1"/>
    <col min="768" max="773" width="12.7109375" style="956" customWidth="1"/>
    <col min="774" max="774" width="13" style="956" customWidth="1"/>
    <col min="775" max="776" width="12.7109375" style="956" customWidth="1"/>
    <col min="777" max="777" width="9.140625" style="956"/>
    <col min="778" max="778" width="11.140625" style="956" bestFit="1" customWidth="1"/>
    <col min="779" max="1017" width="9.140625" style="956"/>
    <col min="1018" max="1018" width="4" style="956" customWidth="1"/>
    <col min="1019" max="1019" width="30.7109375" style="956" customWidth="1"/>
    <col min="1020" max="1021" width="10" style="956" customWidth="1"/>
    <col min="1022" max="1022" width="9.85546875" style="956" customWidth="1"/>
    <col min="1023" max="1023" width="12.42578125" style="956" customWidth="1"/>
    <col min="1024" max="1029" width="12.7109375" style="956" customWidth="1"/>
    <col min="1030" max="1030" width="13" style="956" customWidth="1"/>
    <col min="1031" max="1032" width="12.7109375" style="956" customWidth="1"/>
    <col min="1033" max="1033" width="9.140625" style="956"/>
    <col min="1034" max="1034" width="11.140625" style="956" bestFit="1" customWidth="1"/>
    <col min="1035" max="1273" width="9.140625" style="956"/>
    <col min="1274" max="1274" width="4" style="956" customWidth="1"/>
    <col min="1275" max="1275" width="30.7109375" style="956" customWidth="1"/>
    <col min="1276" max="1277" width="10" style="956" customWidth="1"/>
    <col min="1278" max="1278" width="9.85546875" style="956" customWidth="1"/>
    <col min="1279" max="1279" width="12.42578125" style="956" customWidth="1"/>
    <col min="1280" max="1285" width="12.7109375" style="956" customWidth="1"/>
    <col min="1286" max="1286" width="13" style="956" customWidth="1"/>
    <col min="1287" max="1288" width="12.7109375" style="956" customWidth="1"/>
    <col min="1289" max="1289" width="9.140625" style="956"/>
    <col min="1290" max="1290" width="11.140625" style="956" bestFit="1" customWidth="1"/>
    <col min="1291" max="1529" width="9.140625" style="956"/>
    <col min="1530" max="1530" width="4" style="956" customWidth="1"/>
    <col min="1531" max="1531" width="30.7109375" style="956" customWidth="1"/>
    <col min="1532" max="1533" width="10" style="956" customWidth="1"/>
    <col min="1534" max="1534" width="9.85546875" style="956" customWidth="1"/>
    <col min="1535" max="1535" width="12.42578125" style="956" customWidth="1"/>
    <col min="1536" max="1541" width="12.7109375" style="956" customWidth="1"/>
    <col min="1542" max="1542" width="13" style="956" customWidth="1"/>
    <col min="1543" max="1544" width="12.7109375" style="956" customWidth="1"/>
    <col min="1545" max="1545" width="9.140625" style="956"/>
    <col min="1546" max="1546" width="11.140625" style="956" bestFit="1" customWidth="1"/>
    <col min="1547" max="1785" width="9.140625" style="956"/>
    <col min="1786" max="1786" width="4" style="956" customWidth="1"/>
    <col min="1787" max="1787" width="30.7109375" style="956" customWidth="1"/>
    <col min="1788" max="1789" width="10" style="956" customWidth="1"/>
    <col min="1790" max="1790" width="9.85546875" style="956" customWidth="1"/>
    <col min="1791" max="1791" width="12.42578125" style="956" customWidth="1"/>
    <col min="1792" max="1797" width="12.7109375" style="956" customWidth="1"/>
    <col min="1798" max="1798" width="13" style="956" customWidth="1"/>
    <col min="1799" max="1800" width="12.7109375" style="956" customWidth="1"/>
    <col min="1801" max="1801" width="9.140625" style="956"/>
    <col min="1802" max="1802" width="11.140625" style="956" bestFit="1" customWidth="1"/>
    <col min="1803" max="2041" width="9.140625" style="956"/>
    <col min="2042" max="2042" width="4" style="956" customWidth="1"/>
    <col min="2043" max="2043" width="30.7109375" style="956" customWidth="1"/>
    <col min="2044" max="2045" width="10" style="956" customWidth="1"/>
    <col min="2046" max="2046" width="9.85546875" style="956" customWidth="1"/>
    <col min="2047" max="2047" width="12.42578125" style="956" customWidth="1"/>
    <col min="2048" max="2053" width="12.7109375" style="956" customWidth="1"/>
    <col min="2054" max="2054" width="13" style="956" customWidth="1"/>
    <col min="2055" max="2056" width="12.7109375" style="956" customWidth="1"/>
    <col min="2057" max="2057" width="9.140625" style="956"/>
    <col min="2058" max="2058" width="11.140625" style="956" bestFit="1" customWidth="1"/>
    <col min="2059" max="2297" width="9.140625" style="956"/>
    <col min="2298" max="2298" width="4" style="956" customWidth="1"/>
    <col min="2299" max="2299" width="30.7109375" style="956" customWidth="1"/>
    <col min="2300" max="2301" width="10" style="956" customWidth="1"/>
    <col min="2302" max="2302" width="9.85546875" style="956" customWidth="1"/>
    <col min="2303" max="2303" width="12.42578125" style="956" customWidth="1"/>
    <col min="2304" max="2309" width="12.7109375" style="956" customWidth="1"/>
    <col min="2310" max="2310" width="13" style="956" customWidth="1"/>
    <col min="2311" max="2312" width="12.7109375" style="956" customWidth="1"/>
    <col min="2313" max="2313" width="9.140625" style="956"/>
    <col min="2314" max="2314" width="11.140625" style="956" bestFit="1" customWidth="1"/>
    <col min="2315" max="2553" width="9.140625" style="956"/>
    <col min="2554" max="2554" width="4" style="956" customWidth="1"/>
    <col min="2555" max="2555" width="30.7109375" style="956" customWidth="1"/>
    <col min="2556" max="2557" width="10" style="956" customWidth="1"/>
    <col min="2558" max="2558" width="9.85546875" style="956" customWidth="1"/>
    <col min="2559" max="2559" width="12.42578125" style="956" customWidth="1"/>
    <col min="2560" max="2565" width="12.7109375" style="956" customWidth="1"/>
    <col min="2566" max="2566" width="13" style="956" customWidth="1"/>
    <col min="2567" max="2568" width="12.7109375" style="956" customWidth="1"/>
    <col min="2569" max="2569" width="9.140625" style="956"/>
    <col min="2570" max="2570" width="11.140625" style="956" bestFit="1" customWidth="1"/>
    <col min="2571" max="2809" width="9.140625" style="956"/>
    <col min="2810" max="2810" width="4" style="956" customWidth="1"/>
    <col min="2811" max="2811" width="30.7109375" style="956" customWidth="1"/>
    <col min="2812" max="2813" width="10" style="956" customWidth="1"/>
    <col min="2814" max="2814" width="9.85546875" style="956" customWidth="1"/>
    <col min="2815" max="2815" width="12.42578125" style="956" customWidth="1"/>
    <col min="2816" max="2821" width="12.7109375" style="956" customWidth="1"/>
    <col min="2822" max="2822" width="13" style="956" customWidth="1"/>
    <col min="2823" max="2824" width="12.7109375" style="956" customWidth="1"/>
    <col min="2825" max="2825" width="9.140625" style="956"/>
    <col min="2826" max="2826" width="11.140625" style="956" bestFit="1" customWidth="1"/>
    <col min="2827" max="3065" width="9.140625" style="956"/>
    <col min="3066" max="3066" width="4" style="956" customWidth="1"/>
    <col min="3067" max="3067" width="30.7109375" style="956" customWidth="1"/>
    <col min="3068" max="3069" width="10" style="956" customWidth="1"/>
    <col min="3070" max="3070" width="9.85546875" style="956" customWidth="1"/>
    <col min="3071" max="3071" width="12.42578125" style="956" customWidth="1"/>
    <col min="3072" max="3077" width="12.7109375" style="956" customWidth="1"/>
    <col min="3078" max="3078" width="13" style="956" customWidth="1"/>
    <col min="3079" max="3080" width="12.7109375" style="956" customWidth="1"/>
    <col min="3081" max="3081" width="9.140625" style="956"/>
    <col min="3082" max="3082" width="11.140625" style="956" bestFit="1" customWidth="1"/>
    <col min="3083" max="3321" width="9.140625" style="956"/>
    <col min="3322" max="3322" width="4" style="956" customWidth="1"/>
    <col min="3323" max="3323" width="30.7109375" style="956" customWidth="1"/>
    <col min="3324" max="3325" width="10" style="956" customWidth="1"/>
    <col min="3326" max="3326" width="9.85546875" style="956" customWidth="1"/>
    <col min="3327" max="3327" width="12.42578125" style="956" customWidth="1"/>
    <col min="3328" max="3333" width="12.7109375" style="956" customWidth="1"/>
    <col min="3334" max="3334" width="13" style="956" customWidth="1"/>
    <col min="3335" max="3336" width="12.7109375" style="956" customWidth="1"/>
    <col min="3337" max="3337" width="9.140625" style="956"/>
    <col min="3338" max="3338" width="11.140625" style="956" bestFit="1" customWidth="1"/>
    <col min="3339" max="3577" width="9.140625" style="956"/>
    <col min="3578" max="3578" width="4" style="956" customWidth="1"/>
    <col min="3579" max="3579" width="30.7109375" style="956" customWidth="1"/>
    <col min="3580" max="3581" width="10" style="956" customWidth="1"/>
    <col min="3582" max="3582" width="9.85546875" style="956" customWidth="1"/>
    <col min="3583" max="3583" width="12.42578125" style="956" customWidth="1"/>
    <col min="3584" max="3589" width="12.7109375" style="956" customWidth="1"/>
    <col min="3590" max="3590" width="13" style="956" customWidth="1"/>
    <col min="3591" max="3592" width="12.7109375" style="956" customWidth="1"/>
    <col min="3593" max="3593" width="9.140625" style="956"/>
    <col min="3594" max="3594" width="11.140625" style="956" bestFit="1" customWidth="1"/>
    <col min="3595" max="3833" width="9.140625" style="956"/>
    <col min="3834" max="3834" width="4" style="956" customWidth="1"/>
    <col min="3835" max="3835" width="30.7109375" style="956" customWidth="1"/>
    <col min="3836" max="3837" width="10" style="956" customWidth="1"/>
    <col min="3838" max="3838" width="9.85546875" style="956" customWidth="1"/>
    <col min="3839" max="3839" width="12.42578125" style="956" customWidth="1"/>
    <col min="3840" max="3845" width="12.7109375" style="956" customWidth="1"/>
    <col min="3846" max="3846" width="13" style="956" customWidth="1"/>
    <col min="3847" max="3848" width="12.7109375" style="956" customWidth="1"/>
    <col min="3849" max="3849" width="9.140625" style="956"/>
    <col min="3850" max="3850" width="11.140625" style="956" bestFit="1" customWidth="1"/>
    <col min="3851" max="4089" width="9.140625" style="956"/>
    <col min="4090" max="4090" width="4" style="956" customWidth="1"/>
    <col min="4091" max="4091" width="30.7109375" style="956" customWidth="1"/>
    <col min="4092" max="4093" width="10" style="956" customWidth="1"/>
    <col min="4094" max="4094" width="9.85546875" style="956" customWidth="1"/>
    <col min="4095" max="4095" width="12.42578125" style="956" customWidth="1"/>
    <col min="4096" max="4101" width="12.7109375" style="956" customWidth="1"/>
    <col min="4102" max="4102" width="13" style="956" customWidth="1"/>
    <col min="4103" max="4104" width="12.7109375" style="956" customWidth="1"/>
    <col min="4105" max="4105" width="9.140625" style="956"/>
    <col min="4106" max="4106" width="11.140625" style="956" bestFit="1" customWidth="1"/>
    <col min="4107" max="4345" width="9.140625" style="956"/>
    <col min="4346" max="4346" width="4" style="956" customWidth="1"/>
    <col min="4347" max="4347" width="30.7109375" style="956" customWidth="1"/>
    <col min="4348" max="4349" width="10" style="956" customWidth="1"/>
    <col min="4350" max="4350" width="9.85546875" style="956" customWidth="1"/>
    <col min="4351" max="4351" width="12.42578125" style="956" customWidth="1"/>
    <col min="4352" max="4357" width="12.7109375" style="956" customWidth="1"/>
    <col min="4358" max="4358" width="13" style="956" customWidth="1"/>
    <col min="4359" max="4360" width="12.7109375" style="956" customWidth="1"/>
    <col min="4361" max="4361" width="9.140625" style="956"/>
    <col min="4362" max="4362" width="11.140625" style="956" bestFit="1" customWidth="1"/>
    <col min="4363" max="4601" width="9.140625" style="956"/>
    <col min="4602" max="4602" width="4" style="956" customWidth="1"/>
    <col min="4603" max="4603" width="30.7109375" style="956" customWidth="1"/>
    <col min="4604" max="4605" width="10" style="956" customWidth="1"/>
    <col min="4606" max="4606" width="9.85546875" style="956" customWidth="1"/>
    <col min="4607" max="4607" width="12.42578125" style="956" customWidth="1"/>
    <col min="4608" max="4613" width="12.7109375" style="956" customWidth="1"/>
    <col min="4614" max="4614" width="13" style="956" customWidth="1"/>
    <col min="4615" max="4616" width="12.7109375" style="956" customWidth="1"/>
    <col min="4617" max="4617" width="9.140625" style="956"/>
    <col min="4618" max="4618" width="11.140625" style="956" bestFit="1" customWidth="1"/>
    <col min="4619" max="4857" width="9.140625" style="956"/>
    <col min="4858" max="4858" width="4" style="956" customWidth="1"/>
    <col min="4859" max="4859" width="30.7109375" style="956" customWidth="1"/>
    <col min="4860" max="4861" width="10" style="956" customWidth="1"/>
    <col min="4862" max="4862" width="9.85546875" style="956" customWidth="1"/>
    <col min="4863" max="4863" width="12.42578125" style="956" customWidth="1"/>
    <col min="4864" max="4869" width="12.7109375" style="956" customWidth="1"/>
    <col min="4870" max="4870" width="13" style="956" customWidth="1"/>
    <col min="4871" max="4872" width="12.7109375" style="956" customWidth="1"/>
    <col min="4873" max="4873" width="9.140625" style="956"/>
    <col min="4874" max="4874" width="11.140625" style="956" bestFit="1" customWidth="1"/>
    <col min="4875" max="5113" width="9.140625" style="956"/>
    <col min="5114" max="5114" width="4" style="956" customWidth="1"/>
    <col min="5115" max="5115" width="30.7109375" style="956" customWidth="1"/>
    <col min="5116" max="5117" width="10" style="956" customWidth="1"/>
    <col min="5118" max="5118" width="9.85546875" style="956" customWidth="1"/>
    <col min="5119" max="5119" width="12.42578125" style="956" customWidth="1"/>
    <col min="5120" max="5125" width="12.7109375" style="956" customWidth="1"/>
    <col min="5126" max="5126" width="13" style="956" customWidth="1"/>
    <col min="5127" max="5128" width="12.7109375" style="956" customWidth="1"/>
    <col min="5129" max="5129" width="9.140625" style="956"/>
    <col min="5130" max="5130" width="11.140625" style="956" bestFit="1" customWidth="1"/>
    <col min="5131" max="5369" width="9.140625" style="956"/>
    <col min="5370" max="5370" width="4" style="956" customWidth="1"/>
    <col min="5371" max="5371" width="30.7109375" style="956" customWidth="1"/>
    <col min="5372" max="5373" width="10" style="956" customWidth="1"/>
    <col min="5374" max="5374" width="9.85546875" style="956" customWidth="1"/>
    <col min="5375" max="5375" width="12.42578125" style="956" customWidth="1"/>
    <col min="5376" max="5381" width="12.7109375" style="956" customWidth="1"/>
    <col min="5382" max="5382" width="13" style="956" customWidth="1"/>
    <col min="5383" max="5384" width="12.7109375" style="956" customWidth="1"/>
    <col min="5385" max="5385" width="9.140625" style="956"/>
    <col min="5386" max="5386" width="11.140625" style="956" bestFit="1" customWidth="1"/>
    <col min="5387" max="5625" width="9.140625" style="956"/>
    <col min="5626" max="5626" width="4" style="956" customWidth="1"/>
    <col min="5627" max="5627" width="30.7109375" style="956" customWidth="1"/>
    <col min="5628" max="5629" width="10" style="956" customWidth="1"/>
    <col min="5630" max="5630" width="9.85546875" style="956" customWidth="1"/>
    <col min="5631" max="5631" width="12.42578125" style="956" customWidth="1"/>
    <col min="5632" max="5637" width="12.7109375" style="956" customWidth="1"/>
    <col min="5638" max="5638" width="13" style="956" customWidth="1"/>
    <col min="5639" max="5640" width="12.7109375" style="956" customWidth="1"/>
    <col min="5641" max="5641" width="9.140625" style="956"/>
    <col min="5642" max="5642" width="11.140625" style="956" bestFit="1" customWidth="1"/>
    <col min="5643" max="5881" width="9.140625" style="956"/>
    <col min="5882" max="5882" width="4" style="956" customWidth="1"/>
    <col min="5883" max="5883" width="30.7109375" style="956" customWidth="1"/>
    <col min="5884" max="5885" width="10" style="956" customWidth="1"/>
    <col min="5886" max="5886" width="9.85546875" style="956" customWidth="1"/>
    <col min="5887" max="5887" width="12.42578125" style="956" customWidth="1"/>
    <col min="5888" max="5893" width="12.7109375" style="956" customWidth="1"/>
    <col min="5894" max="5894" width="13" style="956" customWidth="1"/>
    <col min="5895" max="5896" width="12.7109375" style="956" customWidth="1"/>
    <col min="5897" max="5897" width="9.140625" style="956"/>
    <col min="5898" max="5898" width="11.140625" style="956" bestFit="1" customWidth="1"/>
    <col min="5899" max="6137" width="9.140625" style="956"/>
    <col min="6138" max="6138" width="4" style="956" customWidth="1"/>
    <col min="6139" max="6139" width="30.7109375" style="956" customWidth="1"/>
    <col min="6140" max="6141" width="10" style="956" customWidth="1"/>
    <col min="6142" max="6142" width="9.85546875" style="956" customWidth="1"/>
    <col min="6143" max="6143" width="12.42578125" style="956" customWidth="1"/>
    <col min="6144" max="6149" width="12.7109375" style="956" customWidth="1"/>
    <col min="6150" max="6150" width="13" style="956" customWidth="1"/>
    <col min="6151" max="6152" width="12.7109375" style="956" customWidth="1"/>
    <col min="6153" max="6153" width="9.140625" style="956"/>
    <col min="6154" max="6154" width="11.140625" style="956" bestFit="1" customWidth="1"/>
    <col min="6155" max="6393" width="9.140625" style="956"/>
    <col min="6394" max="6394" width="4" style="956" customWidth="1"/>
    <col min="6395" max="6395" width="30.7109375" style="956" customWidth="1"/>
    <col min="6396" max="6397" width="10" style="956" customWidth="1"/>
    <col min="6398" max="6398" width="9.85546875" style="956" customWidth="1"/>
    <col min="6399" max="6399" width="12.42578125" style="956" customWidth="1"/>
    <col min="6400" max="6405" width="12.7109375" style="956" customWidth="1"/>
    <col min="6406" max="6406" width="13" style="956" customWidth="1"/>
    <col min="6407" max="6408" width="12.7109375" style="956" customWidth="1"/>
    <col min="6409" max="6409" width="9.140625" style="956"/>
    <col min="6410" max="6410" width="11.140625" style="956" bestFit="1" customWidth="1"/>
    <col min="6411" max="6649" width="9.140625" style="956"/>
    <col min="6650" max="6650" width="4" style="956" customWidth="1"/>
    <col min="6651" max="6651" width="30.7109375" style="956" customWidth="1"/>
    <col min="6652" max="6653" width="10" style="956" customWidth="1"/>
    <col min="6654" max="6654" width="9.85546875" style="956" customWidth="1"/>
    <col min="6655" max="6655" width="12.42578125" style="956" customWidth="1"/>
    <col min="6656" max="6661" width="12.7109375" style="956" customWidth="1"/>
    <col min="6662" max="6662" width="13" style="956" customWidth="1"/>
    <col min="6663" max="6664" width="12.7109375" style="956" customWidth="1"/>
    <col min="6665" max="6665" width="9.140625" style="956"/>
    <col min="6666" max="6666" width="11.140625" style="956" bestFit="1" customWidth="1"/>
    <col min="6667" max="6905" width="9.140625" style="956"/>
    <col min="6906" max="6906" width="4" style="956" customWidth="1"/>
    <col min="6907" max="6907" width="30.7109375" style="956" customWidth="1"/>
    <col min="6908" max="6909" width="10" style="956" customWidth="1"/>
    <col min="6910" max="6910" width="9.85546875" style="956" customWidth="1"/>
    <col min="6911" max="6911" width="12.42578125" style="956" customWidth="1"/>
    <col min="6912" max="6917" width="12.7109375" style="956" customWidth="1"/>
    <col min="6918" max="6918" width="13" style="956" customWidth="1"/>
    <col min="6919" max="6920" width="12.7109375" style="956" customWidth="1"/>
    <col min="6921" max="6921" width="9.140625" style="956"/>
    <col min="6922" max="6922" width="11.140625" style="956" bestFit="1" customWidth="1"/>
    <col min="6923" max="7161" width="9.140625" style="956"/>
    <col min="7162" max="7162" width="4" style="956" customWidth="1"/>
    <col min="7163" max="7163" width="30.7109375" style="956" customWidth="1"/>
    <col min="7164" max="7165" width="10" style="956" customWidth="1"/>
    <col min="7166" max="7166" width="9.85546875" style="956" customWidth="1"/>
    <col min="7167" max="7167" width="12.42578125" style="956" customWidth="1"/>
    <col min="7168" max="7173" width="12.7109375" style="956" customWidth="1"/>
    <col min="7174" max="7174" width="13" style="956" customWidth="1"/>
    <col min="7175" max="7176" width="12.7109375" style="956" customWidth="1"/>
    <col min="7177" max="7177" width="9.140625" style="956"/>
    <col min="7178" max="7178" width="11.140625" style="956" bestFit="1" customWidth="1"/>
    <col min="7179" max="7417" width="9.140625" style="956"/>
    <col min="7418" max="7418" width="4" style="956" customWidth="1"/>
    <col min="7419" max="7419" width="30.7109375" style="956" customWidth="1"/>
    <col min="7420" max="7421" width="10" style="956" customWidth="1"/>
    <col min="7422" max="7422" width="9.85546875" style="956" customWidth="1"/>
    <col min="7423" max="7423" width="12.42578125" style="956" customWidth="1"/>
    <col min="7424" max="7429" width="12.7109375" style="956" customWidth="1"/>
    <col min="7430" max="7430" width="13" style="956" customWidth="1"/>
    <col min="7431" max="7432" width="12.7109375" style="956" customWidth="1"/>
    <col min="7433" max="7433" width="9.140625" style="956"/>
    <col min="7434" max="7434" width="11.140625" style="956" bestFit="1" customWidth="1"/>
    <col min="7435" max="7673" width="9.140625" style="956"/>
    <col min="7674" max="7674" width="4" style="956" customWidth="1"/>
    <col min="7675" max="7675" width="30.7109375" style="956" customWidth="1"/>
    <col min="7676" max="7677" width="10" style="956" customWidth="1"/>
    <col min="7678" max="7678" width="9.85546875" style="956" customWidth="1"/>
    <col min="7679" max="7679" width="12.42578125" style="956" customWidth="1"/>
    <col min="7680" max="7685" width="12.7109375" style="956" customWidth="1"/>
    <col min="7686" max="7686" width="13" style="956" customWidth="1"/>
    <col min="7687" max="7688" width="12.7109375" style="956" customWidth="1"/>
    <col min="7689" max="7689" width="9.140625" style="956"/>
    <col min="7690" max="7690" width="11.140625" style="956" bestFit="1" customWidth="1"/>
    <col min="7691" max="7929" width="9.140625" style="956"/>
    <col min="7930" max="7930" width="4" style="956" customWidth="1"/>
    <col min="7931" max="7931" width="30.7109375" style="956" customWidth="1"/>
    <col min="7932" max="7933" width="10" style="956" customWidth="1"/>
    <col min="7934" max="7934" width="9.85546875" style="956" customWidth="1"/>
    <col min="7935" max="7935" width="12.42578125" style="956" customWidth="1"/>
    <col min="7936" max="7941" width="12.7109375" style="956" customWidth="1"/>
    <col min="7942" max="7942" width="13" style="956" customWidth="1"/>
    <col min="7943" max="7944" width="12.7109375" style="956" customWidth="1"/>
    <col min="7945" max="7945" width="9.140625" style="956"/>
    <col min="7946" max="7946" width="11.140625" style="956" bestFit="1" customWidth="1"/>
    <col min="7947" max="8185" width="9.140625" style="956"/>
    <col min="8186" max="8186" width="4" style="956" customWidth="1"/>
    <col min="8187" max="8187" width="30.7109375" style="956" customWidth="1"/>
    <col min="8188" max="8189" width="10" style="956" customWidth="1"/>
    <col min="8190" max="8190" width="9.85546875" style="956" customWidth="1"/>
    <col min="8191" max="8191" width="12.42578125" style="956" customWidth="1"/>
    <col min="8192" max="8197" width="12.7109375" style="956" customWidth="1"/>
    <col min="8198" max="8198" width="13" style="956" customWidth="1"/>
    <col min="8199" max="8200" width="12.7109375" style="956" customWidth="1"/>
    <col min="8201" max="8201" width="9.140625" style="956"/>
    <col min="8202" max="8202" width="11.140625" style="956" bestFit="1" customWidth="1"/>
    <col min="8203" max="8441" width="9.140625" style="956"/>
    <col min="8442" max="8442" width="4" style="956" customWidth="1"/>
    <col min="8443" max="8443" width="30.7109375" style="956" customWidth="1"/>
    <col min="8444" max="8445" width="10" style="956" customWidth="1"/>
    <col min="8446" max="8446" width="9.85546875" style="956" customWidth="1"/>
    <col min="8447" max="8447" width="12.42578125" style="956" customWidth="1"/>
    <col min="8448" max="8453" width="12.7109375" style="956" customWidth="1"/>
    <col min="8454" max="8454" width="13" style="956" customWidth="1"/>
    <col min="8455" max="8456" width="12.7109375" style="956" customWidth="1"/>
    <col min="8457" max="8457" width="9.140625" style="956"/>
    <col min="8458" max="8458" width="11.140625" style="956" bestFit="1" customWidth="1"/>
    <col min="8459" max="8697" width="9.140625" style="956"/>
    <col min="8698" max="8698" width="4" style="956" customWidth="1"/>
    <col min="8699" max="8699" width="30.7109375" style="956" customWidth="1"/>
    <col min="8700" max="8701" width="10" style="956" customWidth="1"/>
    <col min="8702" max="8702" width="9.85546875" style="956" customWidth="1"/>
    <col min="8703" max="8703" width="12.42578125" style="956" customWidth="1"/>
    <col min="8704" max="8709" width="12.7109375" style="956" customWidth="1"/>
    <col min="8710" max="8710" width="13" style="956" customWidth="1"/>
    <col min="8711" max="8712" width="12.7109375" style="956" customWidth="1"/>
    <col min="8713" max="8713" width="9.140625" style="956"/>
    <col min="8714" max="8714" width="11.140625" style="956" bestFit="1" customWidth="1"/>
    <col min="8715" max="8953" width="9.140625" style="956"/>
    <col min="8954" max="8954" width="4" style="956" customWidth="1"/>
    <col min="8955" max="8955" width="30.7109375" style="956" customWidth="1"/>
    <col min="8956" max="8957" width="10" style="956" customWidth="1"/>
    <col min="8958" max="8958" width="9.85546875" style="956" customWidth="1"/>
    <col min="8959" max="8959" width="12.42578125" style="956" customWidth="1"/>
    <col min="8960" max="8965" width="12.7109375" style="956" customWidth="1"/>
    <col min="8966" max="8966" width="13" style="956" customWidth="1"/>
    <col min="8967" max="8968" width="12.7109375" style="956" customWidth="1"/>
    <col min="8969" max="8969" width="9.140625" style="956"/>
    <col min="8970" max="8970" width="11.140625" style="956" bestFit="1" customWidth="1"/>
    <col min="8971" max="9209" width="9.140625" style="956"/>
    <col min="9210" max="9210" width="4" style="956" customWidth="1"/>
    <col min="9211" max="9211" width="30.7109375" style="956" customWidth="1"/>
    <col min="9212" max="9213" width="10" style="956" customWidth="1"/>
    <col min="9214" max="9214" width="9.85546875" style="956" customWidth="1"/>
    <col min="9215" max="9215" width="12.42578125" style="956" customWidth="1"/>
    <col min="9216" max="9221" width="12.7109375" style="956" customWidth="1"/>
    <col min="9222" max="9222" width="13" style="956" customWidth="1"/>
    <col min="9223" max="9224" width="12.7109375" style="956" customWidth="1"/>
    <col min="9225" max="9225" width="9.140625" style="956"/>
    <col min="9226" max="9226" width="11.140625" style="956" bestFit="1" customWidth="1"/>
    <col min="9227" max="9465" width="9.140625" style="956"/>
    <col min="9466" max="9466" width="4" style="956" customWidth="1"/>
    <col min="9467" max="9467" width="30.7109375" style="956" customWidth="1"/>
    <col min="9468" max="9469" width="10" style="956" customWidth="1"/>
    <col min="9470" max="9470" width="9.85546875" style="956" customWidth="1"/>
    <col min="9471" max="9471" width="12.42578125" style="956" customWidth="1"/>
    <col min="9472" max="9477" width="12.7109375" style="956" customWidth="1"/>
    <col min="9478" max="9478" width="13" style="956" customWidth="1"/>
    <col min="9479" max="9480" width="12.7109375" style="956" customWidth="1"/>
    <col min="9481" max="9481" width="9.140625" style="956"/>
    <col min="9482" max="9482" width="11.140625" style="956" bestFit="1" customWidth="1"/>
    <col min="9483" max="9721" width="9.140625" style="956"/>
    <col min="9722" max="9722" width="4" style="956" customWidth="1"/>
    <col min="9723" max="9723" width="30.7109375" style="956" customWidth="1"/>
    <col min="9724" max="9725" width="10" style="956" customWidth="1"/>
    <col min="9726" max="9726" width="9.85546875" style="956" customWidth="1"/>
    <col min="9727" max="9727" width="12.42578125" style="956" customWidth="1"/>
    <col min="9728" max="9733" width="12.7109375" style="956" customWidth="1"/>
    <col min="9734" max="9734" width="13" style="956" customWidth="1"/>
    <col min="9735" max="9736" width="12.7109375" style="956" customWidth="1"/>
    <col min="9737" max="9737" width="9.140625" style="956"/>
    <col min="9738" max="9738" width="11.140625" style="956" bestFit="1" customWidth="1"/>
    <col min="9739" max="9977" width="9.140625" style="956"/>
    <col min="9978" max="9978" width="4" style="956" customWidth="1"/>
    <col min="9979" max="9979" width="30.7109375" style="956" customWidth="1"/>
    <col min="9980" max="9981" width="10" style="956" customWidth="1"/>
    <col min="9982" max="9982" width="9.85546875" style="956" customWidth="1"/>
    <col min="9983" max="9983" width="12.42578125" style="956" customWidth="1"/>
    <col min="9984" max="9989" width="12.7109375" style="956" customWidth="1"/>
    <col min="9990" max="9990" width="13" style="956" customWidth="1"/>
    <col min="9991" max="9992" width="12.7109375" style="956" customWidth="1"/>
    <col min="9993" max="9993" width="9.140625" style="956"/>
    <col min="9994" max="9994" width="11.140625" style="956" bestFit="1" customWidth="1"/>
    <col min="9995" max="10233" width="9.140625" style="956"/>
    <col min="10234" max="10234" width="4" style="956" customWidth="1"/>
    <col min="10235" max="10235" width="30.7109375" style="956" customWidth="1"/>
    <col min="10236" max="10237" width="10" style="956" customWidth="1"/>
    <col min="10238" max="10238" width="9.85546875" style="956" customWidth="1"/>
    <col min="10239" max="10239" width="12.42578125" style="956" customWidth="1"/>
    <col min="10240" max="10245" width="12.7109375" style="956" customWidth="1"/>
    <col min="10246" max="10246" width="13" style="956" customWidth="1"/>
    <col min="10247" max="10248" width="12.7109375" style="956" customWidth="1"/>
    <col min="10249" max="10249" width="9.140625" style="956"/>
    <col min="10250" max="10250" width="11.140625" style="956" bestFit="1" customWidth="1"/>
    <col min="10251" max="10489" width="9.140625" style="956"/>
    <col min="10490" max="10490" width="4" style="956" customWidth="1"/>
    <col min="10491" max="10491" width="30.7109375" style="956" customWidth="1"/>
    <col min="10492" max="10493" width="10" style="956" customWidth="1"/>
    <col min="10494" max="10494" width="9.85546875" style="956" customWidth="1"/>
    <col min="10495" max="10495" width="12.42578125" style="956" customWidth="1"/>
    <col min="10496" max="10501" width="12.7109375" style="956" customWidth="1"/>
    <col min="10502" max="10502" width="13" style="956" customWidth="1"/>
    <col min="10503" max="10504" width="12.7109375" style="956" customWidth="1"/>
    <col min="10505" max="10505" width="9.140625" style="956"/>
    <col min="10506" max="10506" width="11.140625" style="956" bestFit="1" customWidth="1"/>
    <col min="10507" max="10745" width="9.140625" style="956"/>
    <col min="10746" max="10746" width="4" style="956" customWidth="1"/>
    <col min="10747" max="10747" width="30.7109375" style="956" customWidth="1"/>
    <col min="10748" max="10749" width="10" style="956" customWidth="1"/>
    <col min="10750" max="10750" width="9.85546875" style="956" customWidth="1"/>
    <col min="10751" max="10751" width="12.42578125" style="956" customWidth="1"/>
    <col min="10752" max="10757" width="12.7109375" style="956" customWidth="1"/>
    <col min="10758" max="10758" width="13" style="956" customWidth="1"/>
    <col min="10759" max="10760" width="12.7109375" style="956" customWidth="1"/>
    <col min="10761" max="10761" width="9.140625" style="956"/>
    <col min="10762" max="10762" width="11.140625" style="956" bestFit="1" customWidth="1"/>
    <col min="10763" max="11001" width="9.140625" style="956"/>
    <col min="11002" max="11002" width="4" style="956" customWidth="1"/>
    <col min="11003" max="11003" width="30.7109375" style="956" customWidth="1"/>
    <col min="11004" max="11005" width="10" style="956" customWidth="1"/>
    <col min="11006" max="11006" width="9.85546875" style="956" customWidth="1"/>
    <col min="11007" max="11007" width="12.42578125" style="956" customWidth="1"/>
    <col min="11008" max="11013" width="12.7109375" style="956" customWidth="1"/>
    <col min="11014" max="11014" width="13" style="956" customWidth="1"/>
    <col min="11015" max="11016" width="12.7109375" style="956" customWidth="1"/>
    <col min="11017" max="11017" width="9.140625" style="956"/>
    <col min="11018" max="11018" width="11.140625" style="956" bestFit="1" customWidth="1"/>
    <col min="11019" max="11257" width="9.140625" style="956"/>
    <col min="11258" max="11258" width="4" style="956" customWidth="1"/>
    <col min="11259" max="11259" width="30.7109375" style="956" customWidth="1"/>
    <col min="11260" max="11261" width="10" style="956" customWidth="1"/>
    <col min="11262" max="11262" width="9.85546875" style="956" customWidth="1"/>
    <col min="11263" max="11263" width="12.42578125" style="956" customWidth="1"/>
    <col min="11264" max="11269" width="12.7109375" style="956" customWidth="1"/>
    <col min="11270" max="11270" width="13" style="956" customWidth="1"/>
    <col min="11271" max="11272" width="12.7109375" style="956" customWidth="1"/>
    <col min="11273" max="11273" width="9.140625" style="956"/>
    <col min="11274" max="11274" width="11.140625" style="956" bestFit="1" customWidth="1"/>
    <col min="11275" max="11513" width="9.140625" style="956"/>
    <col min="11514" max="11514" width="4" style="956" customWidth="1"/>
    <col min="11515" max="11515" width="30.7109375" style="956" customWidth="1"/>
    <col min="11516" max="11517" width="10" style="956" customWidth="1"/>
    <col min="11518" max="11518" width="9.85546875" style="956" customWidth="1"/>
    <col min="11519" max="11519" width="12.42578125" style="956" customWidth="1"/>
    <col min="11520" max="11525" width="12.7109375" style="956" customWidth="1"/>
    <col min="11526" max="11526" width="13" style="956" customWidth="1"/>
    <col min="11527" max="11528" width="12.7109375" style="956" customWidth="1"/>
    <col min="11529" max="11529" width="9.140625" style="956"/>
    <col min="11530" max="11530" width="11.140625" style="956" bestFit="1" customWidth="1"/>
    <col min="11531" max="11769" width="9.140625" style="956"/>
    <col min="11770" max="11770" width="4" style="956" customWidth="1"/>
    <col min="11771" max="11771" width="30.7109375" style="956" customWidth="1"/>
    <col min="11772" max="11773" width="10" style="956" customWidth="1"/>
    <col min="11774" max="11774" width="9.85546875" style="956" customWidth="1"/>
    <col min="11775" max="11775" width="12.42578125" style="956" customWidth="1"/>
    <col min="11776" max="11781" width="12.7109375" style="956" customWidth="1"/>
    <col min="11782" max="11782" width="13" style="956" customWidth="1"/>
    <col min="11783" max="11784" width="12.7109375" style="956" customWidth="1"/>
    <col min="11785" max="11785" width="9.140625" style="956"/>
    <col min="11786" max="11786" width="11.140625" style="956" bestFit="1" customWidth="1"/>
    <col min="11787" max="12025" width="9.140625" style="956"/>
    <col min="12026" max="12026" width="4" style="956" customWidth="1"/>
    <col min="12027" max="12027" width="30.7109375" style="956" customWidth="1"/>
    <col min="12028" max="12029" width="10" style="956" customWidth="1"/>
    <col min="12030" max="12030" width="9.85546875" style="956" customWidth="1"/>
    <col min="12031" max="12031" width="12.42578125" style="956" customWidth="1"/>
    <col min="12032" max="12037" width="12.7109375" style="956" customWidth="1"/>
    <col min="12038" max="12038" width="13" style="956" customWidth="1"/>
    <col min="12039" max="12040" width="12.7109375" style="956" customWidth="1"/>
    <col min="12041" max="12041" width="9.140625" style="956"/>
    <col min="12042" max="12042" width="11.140625" style="956" bestFit="1" customWidth="1"/>
    <col min="12043" max="12281" width="9.140625" style="956"/>
    <col min="12282" max="12282" width="4" style="956" customWidth="1"/>
    <col min="12283" max="12283" width="30.7109375" style="956" customWidth="1"/>
    <col min="12284" max="12285" width="10" style="956" customWidth="1"/>
    <col min="12286" max="12286" width="9.85546875" style="956" customWidth="1"/>
    <col min="12287" max="12287" width="12.42578125" style="956" customWidth="1"/>
    <col min="12288" max="12293" width="12.7109375" style="956" customWidth="1"/>
    <col min="12294" max="12294" width="13" style="956" customWidth="1"/>
    <col min="12295" max="12296" width="12.7109375" style="956" customWidth="1"/>
    <col min="12297" max="12297" width="9.140625" style="956"/>
    <col min="12298" max="12298" width="11.140625" style="956" bestFit="1" customWidth="1"/>
    <col min="12299" max="12537" width="9.140625" style="956"/>
    <col min="12538" max="12538" width="4" style="956" customWidth="1"/>
    <col min="12539" max="12539" width="30.7109375" style="956" customWidth="1"/>
    <col min="12540" max="12541" width="10" style="956" customWidth="1"/>
    <col min="12542" max="12542" width="9.85546875" style="956" customWidth="1"/>
    <col min="12543" max="12543" width="12.42578125" style="956" customWidth="1"/>
    <col min="12544" max="12549" width="12.7109375" style="956" customWidth="1"/>
    <col min="12550" max="12550" width="13" style="956" customWidth="1"/>
    <col min="12551" max="12552" width="12.7109375" style="956" customWidth="1"/>
    <col min="12553" max="12553" width="9.140625" style="956"/>
    <col min="12554" max="12554" width="11.140625" style="956" bestFit="1" customWidth="1"/>
    <col min="12555" max="12793" width="9.140625" style="956"/>
    <col min="12794" max="12794" width="4" style="956" customWidth="1"/>
    <col min="12795" max="12795" width="30.7109375" style="956" customWidth="1"/>
    <col min="12796" max="12797" width="10" style="956" customWidth="1"/>
    <col min="12798" max="12798" width="9.85546875" style="956" customWidth="1"/>
    <col min="12799" max="12799" width="12.42578125" style="956" customWidth="1"/>
    <col min="12800" max="12805" width="12.7109375" style="956" customWidth="1"/>
    <col min="12806" max="12806" width="13" style="956" customWidth="1"/>
    <col min="12807" max="12808" width="12.7109375" style="956" customWidth="1"/>
    <col min="12809" max="12809" width="9.140625" style="956"/>
    <col min="12810" max="12810" width="11.140625" style="956" bestFit="1" customWidth="1"/>
    <col min="12811" max="13049" width="9.140625" style="956"/>
    <col min="13050" max="13050" width="4" style="956" customWidth="1"/>
    <col min="13051" max="13051" width="30.7109375" style="956" customWidth="1"/>
    <col min="13052" max="13053" width="10" style="956" customWidth="1"/>
    <col min="13054" max="13054" width="9.85546875" style="956" customWidth="1"/>
    <col min="13055" max="13055" width="12.42578125" style="956" customWidth="1"/>
    <col min="13056" max="13061" width="12.7109375" style="956" customWidth="1"/>
    <col min="13062" max="13062" width="13" style="956" customWidth="1"/>
    <col min="13063" max="13064" width="12.7109375" style="956" customWidth="1"/>
    <col min="13065" max="13065" width="9.140625" style="956"/>
    <col min="13066" max="13066" width="11.140625" style="956" bestFit="1" customWidth="1"/>
    <col min="13067" max="13305" width="9.140625" style="956"/>
    <col min="13306" max="13306" width="4" style="956" customWidth="1"/>
    <col min="13307" max="13307" width="30.7109375" style="956" customWidth="1"/>
    <col min="13308" max="13309" width="10" style="956" customWidth="1"/>
    <col min="13310" max="13310" width="9.85546875" style="956" customWidth="1"/>
    <col min="13311" max="13311" width="12.42578125" style="956" customWidth="1"/>
    <col min="13312" max="13317" width="12.7109375" style="956" customWidth="1"/>
    <col min="13318" max="13318" width="13" style="956" customWidth="1"/>
    <col min="13319" max="13320" width="12.7109375" style="956" customWidth="1"/>
    <col min="13321" max="13321" width="9.140625" style="956"/>
    <col min="13322" max="13322" width="11.140625" style="956" bestFit="1" customWidth="1"/>
    <col min="13323" max="13561" width="9.140625" style="956"/>
    <col min="13562" max="13562" width="4" style="956" customWidth="1"/>
    <col min="13563" max="13563" width="30.7109375" style="956" customWidth="1"/>
    <col min="13564" max="13565" width="10" style="956" customWidth="1"/>
    <col min="13566" max="13566" width="9.85546875" style="956" customWidth="1"/>
    <col min="13567" max="13567" width="12.42578125" style="956" customWidth="1"/>
    <col min="13568" max="13573" width="12.7109375" style="956" customWidth="1"/>
    <col min="13574" max="13574" width="13" style="956" customWidth="1"/>
    <col min="13575" max="13576" width="12.7109375" style="956" customWidth="1"/>
    <col min="13577" max="13577" width="9.140625" style="956"/>
    <col min="13578" max="13578" width="11.140625" style="956" bestFit="1" customWidth="1"/>
    <col min="13579" max="13817" width="9.140625" style="956"/>
    <col min="13818" max="13818" width="4" style="956" customWidth="1"/>
    <col min="13819" max="13819" width="30.7109375" style="956" customWidth="1"/>
    <col min="13820" max="13821" width="10" style="956" customWidth="1"/>
    <col min="13822" max="13822" width="9.85546875" style="956" customWidth="1"/>
    <col min="13823" max="13823" width="12.42578125" style="956" customWidth="1"/>
    <col min="13824" max="13829" width="12.7109375" style="956" customWidth="1"/>
    <col min="13830" max="13830" width="13" style="956" customWidth="1"/>
    <col min="13831" max="13832" width="12.7109375" style="956" customWidth="1"/>
    <col min="13833" max="13833" width="9.140625" style="956"/>
    <col min="13834" max="13834" width="11.140625" style="956" bestFit="1" customWidth="1"/>
    <col min="13835" max="14073" width="9.140625" style="956"/>
    <col min="14074" max="14074" width="4" style="956" customWidth="1"/>
    <col min="14075" max="14075" width="30.7109375" style="956" customWidth="1"/>
    <col min="14076" max="14077" width="10" style="956" customWidth="1"/>
    <col min="14078" max="14078" width="9.85546875" style="956" customWidth="1"/>
    <col min="14079" max="14079" width="12.42578125" style="956" customWidth="1"/>
    <col min="14080" max="14085" width="12.7109375" style="956" customWidth="1"/>
    <col min="14086" max="14086" width="13" style="956" customWidth="1"/>
    <col min="14087" max="14088" width="12.7109375" style="956" customWidth="1"/>
    <col min="14089" max="14089" width="9.140625" style="956"/>
    <col min="14090" max="14090" width="11.140625" style="956" bestFit="1" customWidth="1"/>
    <col min="14091" max="14329" width="9.140625" style="956"/>
    <col min="14330" max="14330" width="4" style="956" customWidth="1"/>
    <col min="14331" max="14331" width="30.7109375" style="956" customWidth="1"/>
    <col min="14332" max="14333" width="10" style="956" customWidth="1"/>
    <col min="14334" max="14334" width="9.85546875" style="956" customWidth="1"/>
    <col min="14335" max="14335" width="12.42578125" style="956" customWidth="1"/>
    <col min="14336" max="14341" width="12.7109375" style="956" customWidth="1"/>
    <col min="14342" max="14342" width="13" style="956" customWidth="1"/>
    <col min="14343" max="14344" width="12.7109375" style="956" customWidth="1"/>
    <col min="14345" max="14345" width="9.140625" style="956"/>
    <col min="14346" max="14346" width="11.140625" style="956" bestFit="1" customWidth="1"/>
    <col min="14347" max="14585" width="9.140625" style="956"/>
    <col min="14586" max="14586" width="4" style="956" customWidth="1"/>
    <col min="14587" max="14587" width="30.7109375" style="956" customWidth="1"/>
    <col min="14588" max="14589" width="10" style="956" customWidth="1"/>
    <col min="14590" max="14590" width="9.85546875" style="956" customWidth="1"/>
    <col min="14591" max="14591" width="12.42578125" style="956" customWidth="1"/>
    <col min="14592" max="14597" width="12.7109375" style="956" customWidth="1"/>
    <col min="14598" max="14598" width="13" style="956" customWidth="1"/>
    <col min="14599" max="14600" width="12.7109375" style="956" customWidth="1"/>
    <col min="14601" max="14601" width="9.140625" style="956"/>
    <col min="14602" max="14602" width="11.140625" style="956" bestFit="1" customWidth="1"/>
    <col min="14603" max="14841" width="9.140625" style="956"/>
    <col min="14842" max="14842" width="4" style="956" customWidth="1"/>
    <col min="14843" max="14843" width="30.7109375" style="956" customWidth="1"/>
    <col min="14844" max="14845" width="10" style="956" customWidth="1"/>
    <col min="14846" max="14846" width="9.85546875" style="956" customWidth="1"/>
    <col min="14847" max="14847" width="12.42578125" style="956" customWidth="1"/>
    <col min="14848" max="14853" width="12.7109375" style="956" customWidth="1"/>
    <col min="14854" max="14854" width="13" style="956" customWidth="1"/>
    <col min="14855" max="14856" width="12.7109375" style="956" customWidth="1"/>
    <col min="14857" max="14857" width="9.140625" style="956"/>
    <col min="14858" max="14858" width="11.140625" style="956" bestFit="1" customWidth="1"/>
    <col min="14859" max="15097" width="9.140625" style="956"/>
    <col min="15098" max="15098" width="4" style="956" customWidth="1"/>
    <col min="15099" max="15099" width="30.7109375" style="956" customWidth="1"/>
    <col min="15100" max="15101" width="10" style="956" customWidth="1"/>
    <col min="15102" max="15102" width="9.85546875" style="956" customWidth="1"/>
    <col min="15103" max="15103" width="12.42578125" style="956" customWidth="1"/>
    <col min="15104" max="15109" width="12.7109375" style="956" customWidth="1"/>
    <col min="15110" max="15110" width="13" style="956" customWidth="1"/>
    <col min="15111" max="15112" width="12.7109375" style="956" customWidth="1"/>
    <col min="15113" max="15113" width="9.140625" style="956"/>
    <col min="15114" max="15114" width="11.140625" style="956" bestFit="1" customWidth="1"/>
    <col min="15115" max="15353" width="9.140625" style="956"/>
    <col min="15354" max="15354" width="4" style="956" customWidth="1"/>
    <col min="15355" max="15355" width="30.7109375" style="956" customWidth="1"/>
    <col min="15356" max="15357" width="10" style="956" customWidth="1"/>
    <col min="15358" max="15358" width="9.85546875" style="956" customWidth="1"/>
    <col min="15359" max="15359" width="12.42578125" style="956" customWidth="1"/>
    <col min="15360" max="15365" width="12.7109375" style="956" customWidth="1"/>
    <col min="15366" max="15366" width="13" style="956" customWidth="1"/>
    <col min="15367" max="15368" width="12.7109375" style="956" customWidth="1"/>
    <col min="15369" max="15369" width="9.140625" style="956"/>
    <col min="15370" max="15370" width="11.140625" style="956" bestFit="1" customWidth="1"/>
    <col min="15371" max="15609" width="9.140625" style="956"/>
    <col min="15610" max="15610" width="4" style="956" customWidth="1"/>
    <col min="15611" max="15611" width="30.7109375" style="956" customWidth="1"/>
    <col min="15612" max="15613" width="10" style="956" customWidth="1"/>
    <col min="15614" max="15614" width="9.85546875" style="956" customWidth="1"/>
    <col min="15615" max="15615" width="12.42578125" style="956" customWidth="1"/>
    <col min="15616" max="15621" width="12.7109375" style="956" customWidth="1"/>
    <col min="15622" max="15622" width="13" style="956" customWidth="1"/>
    <col min="15623" max="15624" width="12.7109375" style="956" customWidth="1"/>
    <col min="15625" max="15625" width="9.140625" style="956"/>
    <col min="15626" max="15626" width="11.140625" style="956" bestFit="1" customWidth="1"/>
    <col min="15627" max="15865" width="9.140625" style="956"/>
    <col min="15866" max="15866" width="4" style="956" customWidth="1"/>
    <col min="15867" max="15867" width="30.7109375" style="956" customWidth="1"/>
    <col min="15868" max="15869" width="10" style="956" customWidth="1"/>
    <col min="15870" max="15870" width="9.85546875" style="956" customWidth="1"/>
    <col min="15871" max="15871" width="12.42578125" style="956" customWidth="1"/>
    <col min="15872" max="15877" width="12.7109375" style="956" customWidth="1"/>
    <col min="15878" max="15878" width="13" style="956" customWidth="1"/>
    <col min="15879" max="15880" width="12.7109375" style="956" customWidth="1"/>
    <col min="15881" max="15881" width="9.140625" style="956"/>
    <col min="15882" max="15882" width="11.140625" style="956" bestFit="1" customWidth="1"/>
    <col min="15883" max="16121" width="9.140625" style="956"/>
    <col min="16122" max="16122" width="4" style="956" customWidth="1"/>
    <col min="16123" max="16123" width="30.7109375" style="956" customWidth="1"/>
    <col min="16124" max="16125" width="10" style="956" customWidth="1"/>
    <col min="16126" max="16126" width="9.85546875" style="956" customWidth="1"/>
    <col min="16127" max="16127" width="12.42578125" style="956" customWidth="1"/>
    <col min="16128" max="16133" width="12.7109375" style="956" customWidth="1"/>
    <col min="16134" max="16134" width="13" style="956" customWidth="1"/>
    <col min="16135" max="16136" width="12.7109375" style="956" customWidth="1"/>
    <col min="16137" max="16137" width="9.140625" style="956"/>
    <col min="16138" max="16138" width="11.140625" style="956" bestFit="1" customWidth="1"/>
    <col min="16139" max="16384" width="9.140625" style="956"/>
  </cols>
  <sheetData>
    <row r="1" spans="1:14" s="954" customFormat="1" ht="13.5" thickBot="1">
      <c r="A1" s="954" t="s">
        <v>15</v>
      </c>
      <c r="B1" s="955"/>
      <c r="F1" s="1394"/>
    </row>
    <row r="2" spans="1:14" ht="23.25" thickBot="1">
      <c r="A2" s="1724" t="s">
        <v>16</v>
      </c>
      <c r="B2" s="1725"/>
      <c r="C2" s="1725"/>
      <c r="D2" s="1725"/>
      <c r="E2" s="1725"/>
      <c r="F2" s="1725"/>
      <c r="G2" s="1725"/>
      <c r="H2" s="1725"/>
      <c r="I2" s="1725"/>
      <c r="J2" s="1725"/>
      <c r="K2" s="1725"/>
      <c r="L2" s="1725"/>
      <c r="M2" s="1725"/>
      <c r="N2" s="1768"/>
    </row>
    <row r="3" spans="1:14" ht="16.5" thickBot="1">
      <c r="A3" s="1726" t="s">
        <v>17</v>
      </c>
      <c r="B3" s="1727"/>
      <c r="C3" s="1727"/>
      <c r="D3" s="1727"/>
      <c r="E3" s="1727"/>
      <c r="F3" s="1727"/>
      <c r="G3" s="1727"/>
      <c r="H3" s="1727"/>
      <c r="I3" s="1727"/>
      <c r="J3" s="1727"/>
      <c r="K3" s="1727"/>
      <c r="L3" s="1727"/>
      <c r="M3" s="1727"/>
      <c r="N3" s="1769"/>
    </row>
    <row r="4" spans="1:14" ht="25.5">
      <c r="A4" s="957" t="s">
        <v>18</v>
      </c>
      <c r="B4" s="958"/>
      <c r="C4" s="959" t="s">
        <v>19</v>
      </c>
      <c r="D4" s="959"/>
      <c r="E4" s="960"/>
      <c r="F4" s="1770"/>
      <c r="G4" s="961" t="s">
        <v>1927</v>
      </c>
      <c r="H4" s="1537">
        <f>(1082.25-650)*9+440+750+5497+342</f>
        <v>10919.25</v>
      </c>
      <c r="I4" s="962" t="s">
        <v>22</v>
      </c>
      <c r="J4" s="963" t="s">
        <v>23</v>
      </c>
      <c r="K4" s="1395" t="s">
        <v>24</v>
      </c>
      <c r="L4" s="1396">
        <v>42620</v>
      </c>
      <c r="M4" s="963"/>
      <c r="N4" s="963"/>
    </row>
    <row r="5" spans="1:14" ht="26.25" thickBot="1">
      <c r="A5" s="964" t="s">
        <v>26</v>
      </c>
      <c r="B5" s="965"/>
      <c r="C5" s="966" t="s">
        <v>27</v>
      </c>
      <c r="D5" s="966"/>
      <c r="E5" s="967"/>
      <c r="F5" s="1771"/>
      <c r="G5" s="968" t="s">
        <v>28</v>
      </c>
      <c r="H5" s="15"/>
      <c r="I5" s="969" t="s">
        <v>29</v>
      </c>
      <c r="J5" s="970"/>
      <c r="K5" s="969" t="s">
        <v>30</v>
      </c>
      <c r="L5" s="970"/>
      <c r="M5" s="970" t="s">
        <v>18</v>
      </c>
      <c r="N5" s="970" t="s">
        <v>31</v>
      </c>
    </row>
    <row r="6" spans="1:14" ht="13.5" thickBot="1">
      <c r="A6" s="971"/>
      <c r="B6" s="972"/>
      <c r="E6" s="974"/>
      <c r="F6" s="263"/>
      <c r="G6" s="976"/>
      <c r="H6" s="974"/>
      <c r="I6" s="264"/>
      <c r="J6" s="974"/>
      <c r="K6" s="974"/>
      <c r="L6" s="974"/>
      <c r="M6" s="974"/>
      <c r="N6" s="974"/>
    </row>
    <row r="7" spans="1:14" ht="14.25" thickBot="1">
      <c r="A7" s="1730" t="s">
        <v>32</v>
      </c>
      <c r="B7" s="1733" t="s">
        <v>33</v>
      </c>
      <c r="C7" s="1758" t="s">
        <v>34</v>
      </c>
      <c r="D7" s="1384"/>
      <c r="E7" s="1738" t="s">
        <v>35</v>
      </c>
      <c r="F7" s="1772" t="s">
        <v>1311</v>
      </c>
      <c r="G7" s="1775" t="s">
        <v>180</v>
      </c>
      <c r="H7" s="1745"/>
      <c r="I7" s="1761" t="s">
        <v>1720</v>
      </c>
      <c r="J7" s="1762"/>
      <c r="K7" s="1761" t="s">
        <v>1908</v>
      </c>
      <c r="L7" s="1762"/>
      <c r="M7" s="1761"/>
      <c r="N7" s="1719"/>
    </row>
    <row r="8" spans="1:14" ht="12.75" customHeight="1" thickBot="1">
      <c r="A8" s="1731"/>
      <c r="B8" s="1734"/>
      <c r="C8" s="1759"/>
      <c r="D8" s="1385"/>
      <c r="E8" s="1739"/>
      <c r="F8" s="1773"/>
      <c r="G8" s="1723" t="s">
        <v>1909</v>
      </c>
      <c r="H8" s="1723"/>
      <c r="I8" s="1723" t="s">
        <v>1910</v>
      </c>
      <c r="J8" s="1776"/>
      <c r="K8" s="1723" t="s">
        <v>1911</v>
      </c>
      <c r="L8" s="1776"/>
      <c r="M8" s="1723"/>
      <c r="N8" s="1721"/>
    </row>
    <row r="9" spans="1:14" ht="26.25" thickBot="1">
      <c r="A9" s="1731"/>
      <c r="B9" s="1734"/>
      <c r="C9" s="1759"/>
      <c r="D9" s="1520" t="s">
        <v>185</v>
      </c>
      <c r="E9" s="1739"/>
      <c r="F9" s="1773"/>
      <c r="G9" s="1723"/>
      <c r="H9" s="1723"/>
      <c r="I9" s="1723"/>
      <c r="J9" s="1776"/>
      <c r="K9" s="1723"/>
      <c r="L9" s="1776"/>
      <c r="M9" s="1723"/>
      <c r="N9" s="1721"/>
    </row>
    <row r="10" spans="1:14" ht="14.25" thickBot="1">
      <c r="A10" s="1731"/>
      <c r="B10" s="1734"/>
      <c r="C10" s="1759"/>
      <c r="D10" s="1385"/>
      <c r="E10" s="1739"/>
      <c r="F10" s="1773"/>
      <c r="G10" s="1765" t="s">
        <v>188</v>
      </c>
      <c r="H10" s="1745"/>
      <c r="I10" s="1766" t="s">
        <v>1912</v>
      </c>
      <c r="J10" s="1767"/>
      <c r="K10" s="1766" t="s">
        <v>1913</v>
      </c>
      <c r="L10" s="1767"/>
      <c r="M10" s="1766"/>
      <c r="N10" s="1747"/>
    </row>
    <row r="11" spans="1:14" ht="13.5" thickBot="1">
      <c r="A11" s="1731"/>
      <c r="B11" s="1734"/>
      <c r="C11" s="1759"/>
      <c r="D11" s="1385"/>
      <c r="E11" s="1739"/>
      <c r="F11" s="1773"/>
      <c r="G11" s="1716" t="s">
        <v>46</v>
      </c>
      <c r="H11" s="1715"/>
      <c r="I11" s="1716" t="s">
        <v>46</v>
      </c>
      <c r="J11" s="1715"/>
      <c r="K11" s="1716" t="s">
        <v>46</v>
      </c>
      <c r="L11" s="1715"/>
      <c r="M11" s="1383"/>
      <c r="N11" s="1398"/>
    </row>
    <row r="12" spans="1:14" ht="13.5" thickBot="1">
      <c r="A12" s="1731"/>
      <c r="B12" s="1734"/>
      <c r="C12" s="1759"/>
      <c r="D12" s="1385"/>
      <c r="E12" s="1739"/>
      <c r="F12" s="1774"/>
      <c r="G12" s="1401" t="s">
        <v>47</v>
      </c>
      <c r="H12" s="986" t="s">
        <v>48</v>
      </c>
      <c r="I12" s="1401" t="s">
        <v>47</v>
      </c>
      <c r="J12" s="986" t="s">
        <v>48</v>
      </c>
      <c r="K12" s="1401" t="s">
        <v>47</v>
      </c>
      <c r="L12" s="986" t="s">
        <v>48</v>
      </c>
      <c r="M12" s="1402"/>
      <c r="N12" s="1403"/>
    </row>
    <row r="13" spans="1:14" ht="15.75">
      <c r="A13" s="1499"/>
      <c r="B13" s="1521"/>
      <c r="C13" s="1522"/>
      <c r="D13" s="997"/>
      <c r="E13" s="1523"/>
      <c r="F13" s="1524"/>
      <c r="G13" s="1504"/>
      <c r="H13" s="1525"/>
      <c r="I13" s="1526"/>
      <c r="J13" s="1527"/>
      <c r="K13" s="1504"/>
      <c r="L13" s="1527"/>
      <c r="M13" s="1504"/>
      <c r="N13" s="1527"/>
    </row>
    <row r="14" spans="1:14" ht="15">
      <c r="A14" s="1506">
        <v>1</v>
      </c>
      <c r="B14" s="1335" t="s">
        <v>1914</v>
      </c>
      <c r="C14" s="1528" t="s">
        <v>1915</v>
      </c>
      <c r="D14" s="1419">
        <v>1082.25</v>
      </c>
      <c r="E14" s="1001" t="s">
        <v>192</v>
      </c>
      <c r="F14" s="1336">
        <v>9</v>
      </c>
      <c r="G14" s="1529">
        <v>650</v>
      </c>
      <c r="H14" s="57">
        <f>G14*0.95</f>
        <v>617.5</v>
      </c>
      <c r="I14" s="1530">
        <v>900</v>
      </c>
      <c r="J14" s="226">
        <f>I14</f>
        <v>900</v>
      </c>
      <c r="K14" s="1531">
        <v>650</v>
      </c>
      <c r="L14" s="1531">
        <v>650</v>
      </c>
      <c r="M14" s="1335" t="s">
        <v>1901</v>
      </c>
      <c r="N14" s="1335" t="s">
        <v>140</v>
      </c>
    </row>
    <row r="15" spans="1:14" ht="15">
      <c r="A15" s="1506">
        <v>2</v>
      </c>
      <c r="B15" s="1335" t="s">
        <v>1916</v>
      </c>
      <c r="C15" s="1528" t="s">
        <v>1915</v>
      </c>
      <c r="D15" s="1419">
        <v>647.5</v>
      </c>
      <c r="E15" s="1001" t="s">
        <v>192</v>
      </c>
      <c r="F15" s="1336">
        <v>2</v>
      </c>
      <c r="G15" s="1529">
        <v>450</v>
      </c>
      <c r="H15" s="57">
        <f t="shared" ref="H15:H22" si="0">G15*0.95</f>
        <v>427.5</v>
      </c>
      <c r="I15" s="1530">
        <v>630</v>
      </c>
      <c r="J15" s="226">
        <f t="shared" ref="J15:J22" si="1">I15</f>
        <v>630</v>
      </c>
      <c r="K15" s="1531">
        <v>450</v>
      </c>
      <c r="L15" s="1531">
        <v>450</v>
      </c>
      <c r="M15" s="1335" t="s">
        <v>1901</v>
      </c>
      <c r="N15" s="1335" t="s">
        <v>202</v>
      </c>
    </row>
    <row r="16" spans="1:14" ht="15">
      <c r="A16" s="1506">
        <v>3</v>
      </c>
      <c r="B16" s="1335" t="s">
        <v>1917</v>
      </c>
      <c r="C16" s="1528" t="s">
        <v>1918</v>
      </c>
      <c r="D16" s="1419">
        <v>425</v>
      </c>
      <c r="E16" s="1001" t="s">
        <v>192</v>
      </c>
      <c r="F16" s="1336">
        <v>4</v>
      </c>
      <c r="G16" s="1529">
        <v>250</v>
      </c>
      <c r="H16" s="57">
        <f t="shared" si="0"/>
        <v>237.5</v>
      </c>
      <c r="I16" s="1530">
        <v>270</v>
      </c>
      <c r="J16" s="226">
        <f t="shared" si="1"/>
        <v>270</v>
      </c>
      <c r="K16" s="1531">
        <v>190</v>
      </c>
      <c r="L16" s="1531">
        <v>190</v>
      </c>
      <c r="M16" s="1335" t="s">
        <v>1901</v>
      </c>
      <c r="N16" s="1335" t="s">
        <v>204</v>
      </c>
    </row>
    <row r="17" spans="1:14" ht="15">
      <c r="A17" s="1506">
        <v>4</v>
      </c>
      <c r="B17" s="1335" t="s">
        <v>1919</v>
      </c>
      <c r="C17" s="1532" t="s">
        <v>332</v>
      </c>
      <c r="D17" s="1335"/>
      <c r="E17" s="1001" t="s">
        <v>192</v>
      </c>
      <c r="F17" s="1336">
        <v>4</v>
      </c>
      <c r="G17" s="1529">
        <v>1750</v>
      </c>
      <c r="H17" s="57">
        <f t="shared" si="0"/>
        <v>1662.5</v>
      </c>
      <c r="I17" s="1530">
        <v>2700</v>
      </c>
      <c r="J17" s="226">
        <f t="shared" si="1"/>
        <v>2700</v>
      </c>
      <c r="K17" s="1531">
        <v>1870</v>
      </c>
      <c r="L17" s="1531">
        <v>1870</v>
      </c>
      <c r="M17" s="1335" t="s">
        <v>1901</v>
      </c>
      <c r="N17" s="1335" t="s">
        <v>206</v>
      </c>
    </row>
    <row r="18" spans="1:14" ht="15">
      <c r="A18" s="1506">
        <v>5</v>
      </c>
      <c r="B18" s="1335" t="s">
        <v>1920</v>
      </c>
      <c r="C18" s="1532" t="s">
        <v>332</v>
      </c>
      <c r="D18" s="1335"/>
      <c r="E18" s="1001" t="s">
        <v>192</v>
      </c>
      <c r="F18" s="1336">
        <v>2</v>
      </c>
      <c r="G18" s="1529">
        <v>1155</v>
      </c>
      <c r="H18" s="57">
        <f t="shared" si="0"/>
        <v>1097.25</v>
      </c>
      <c r="I18" s="1530">
        <v>1800</v>
      </c>
      <c r="J18" s="226">
        <f t="shared" si="1"/>
        <v>1800</v>
      </c>
      <c r="K18" s="1531">
        <v>1250</v>
      </c>
      <c r="L18" s="1531">
        <v>1250</v>
      </c>
      <c r="M18" s="1335" t="s">
        <v>1901</v>
      </c>
      <c r="N18" s="1335" t="s">
        <v>209</v>
      </c>
    </row>
    <row r="19" spans="1:14" ht="15">
      <c r="A19" s="1506">
        <v>6</v>
      </c>
      <c r="B19" s="1335" t="s">
        <v>1921</v>
      </c>
      <c r="C19" s="1528" t="s">
        <v>1918</v>
      </c>
      <c r="D19" s="1419">
        <v>1122</v>
      </c>
      <c r="E19" s="1001" t="s">
        <v>192</v>
      </c>
      <c r="F19" s="1336">
        <v>11</v>
      </c>
      <c r="G19" s="1529">
        <v>655</v>
      </c>
      <c r="H19" s="57">
        <f t="shared" si="0"/>
        <v>622.25</v>
      </c>
      <c r="I19" s="1530">
        <v>900</v>
      </c>
      <c r="J19" s="226">
        <f t="shared" si="1"/>
        <v>900</v>
      </c>
      <c r="K19" s="1531">
        <v>750</v>
      </c>
      <c r="L19" s="1531">
        <v>750</v>
      </c>
      <c r="M19" s="1335" t="s">
        <v>1901</v>
      </c>
      <c r="N19" s="1335" t="s">
        <v>212</v>
      </c>
    </row>
    <row r="20" spans="1:14" ht="15">
      <c r="A20" s="1506">
        <v>7</v>
      </c>
      <c r="B20" s="1335" t="s">
        <v>1922</v>
      </c>
      <c r="C20" s="1528" t="s">
        <v>1923</v>
      </c>
      <c r="D20" s="1419">
        <v>270</v>
      </c>
      <c r="E20" s="1001" t="s">
        <v>192</v>
      </c>
      <c r="F20" s="1336">
        <v>6</v>
      </c>
      <c r="G20" s="1529">
        <v>225</v>
      </c>
      <c r="H20" s="57">
        <f t="shared" si="0"/>
        <v>213.75</v>
      </c>
      <c r="I20" s="1530">
        <v>270</v>
      </c>
      <c r="J20" s="226">
        <f t="shared" si="1"/>
        <v>270</v>
      </c>
      <c r="K20" s="1531">
        <v>190</v>
      </c>
      <c r="L20" s="1531">
        <v>190</v>
      </c>
      <c r="M20" s="1335" t="s">
        <v>1901</v>
      </c>
      <c r="N20" s="1335" t="s">
        <v>214</v>
      </c>
    </row>
    <row r="21" spans="1:14" ht="15">
      <c r="A21" s="1506">
        <v>8</v>
      </c>
      <c r="B21" s="1335" t="s">
        <v>1924</v>
      </c>
      <c r="C21" s="1532" t="s">
        <v>332</v>
      </c>
      <c r="D21" s="1335"/>
      <c r="E21" s="1001" t="s">
        <v>192</v>
      </c>
      <c r="F21" s="1336">
        <v>2</v>
      </c>
      <c r="G21" s="1529">
        <v>250</v>
      </c>
      <c r="H21" s="57">
        <f t="shared" si="0"/>
        <v>237.5</v>
      </c>
      <c r="I21" s="1530">
        <v>270</v>
      </c>
      <c r="J21" s="226">
        <f t="shared" si="1"/>
        <v>270</v>
      </c>
      <c r="K21" s="1531">
        <v>190</v>
      </c>
      <c r="L21" s="1531">
        <v>190</v>
      </c>
      <c r="M21" s="1335" t="s">
        <v>1901</v>
      </c>
      <c r="N21" s="1335" t="s">
        <v>216</v>
      </c>
    </row>
    <row r="22" spans="1:14" ht="15">
      <c r="A22" s="1506">
        <v>9</v>
      </c>
      <c r="B22" s="1335" t="s">
        <v>1925</v>
      </c>
      <c r="C22" s="1532" t="s">
        <v>332</v>
      </c>
      <c r="D22" s="1335"/>
      <c r="E22" s="1001" t="s">
        <v>192</v>
      </c>
      <c r="F22" s="1336">
        <v>1</v>
      </c>
      <c r="G22" s="1529">
        <v>450</v>
      </c>
      <c r="H22" s="57">
        <f t="shared" si="0"/>
        <v>427.5</v>
      </c>
      <c r="I22" s="1530">
        <v>720</v>
      </c>
      <c r="J22" s="226">
        <f t="shared" si="1"/>
        <v>720</v>
      </c>
      <c r="K22" s="1531">
        <v>450</v>
      </c>
      <c r="L22" s="1531">
        <v>450</v>
      </c>
      <c r="M22" s="1335" t="s">
        <v>1901</v>
      </c>
      <c r="N22" s="1335" t="s">
        <v>218</v>
      </c>
    </row>
    <row r="23" spans="1:14" ht="13.5" thickBot="1">
      <c r="A23" s="1034"/>
      <c r="B23" s="1511"/>
      <c r="C23" s="1533"/>
      <c r="D23" s="997"/>
      <c r="E23" s="1534"/>
      <c r="F23" s="1535"/>
      <c r="G23" s="1517"/>
      <c r="H23" s="1518"/>
      <c r="I23" s="1536"/>
      <c r="J23" s="1040"/>
      <c r="K23" s="1039"/>
      <c r="L23" s="1040"/>
      <c r="M23" s="1039"/>
      <c r="N23" s="1040"/>
    </row>
    <row r="24" spans="1:14" s="954" customFormat="1" ht="13.5" thickBot="1">
      <c r="A24" s="1041" t="s">
        <v>58</v>
      </c>
      <c r="B24" s="1042"/>
      <c r="C24" s="1043"/>
      <c r="D24" s="95">
        <f>SUMPRODUCT(D13:D23, $F$13:$F$23)</f>
        <v>26697.25</v>
      </c>
      <c r="E24" s="1045"/>
      <c r="F24" s="314">
        <f>SUM(F14:F23)</f>
        <v>41</v>
      </c>
      <c r="G24" s="95">
        <f t="shared" ref="G24:L24" si="2">SUMPRODUCT(G13:G23, $F$13:$F$23)</f>
        <v>26565</v>
      </c>
      <c r="H24" s="95">
        <f t="shared" si="2"/>
        <v>25236.75</v>
      </c>
      <c r="I24" s="95">
        <f t="shared" si="2"/>
        <v>37620</v>
      </c>
      <c r="J24" s="95">
        <f t="shared" si="2"/>
        <v>37620</v>
      </c>
      <c r="K24" s="95">
        <f t="shared" si="2"/>
        <v>27710</v>
      </c>
      <c r="L24" s="95">
        <f t="shared" si="2"/>
        <v>27710</v>
      </c>
      <c r="M24" s="95"/>
      <c r="N24" s="96"/>
    </row>
    <row r="25" spans="1:14">
      <c r="A25" s="1704" t="s">
        <v>59</v>
      </c>
      <c r="B25" s="1705"/>
      <c r="C25" s="1048"/>
      <c r="D25" s="1048"/>
      <c r="E25" s="1048"/>
      <c r="F25" s="315"/>
      <c r="G25" s="101"/>
      <c r="H25" s="99"/>
      <c r="I25" s="99"/>
      <c r="J25" s="100"/>
      <c r="K25" s="99"/>
      <c r="L25" s="100"/>
      <c r="M25" s="99"/>
      <c r="N25" s="99"/>
    </row>
    <row r="26" spans="1:14">
      <c r="A26" s="1378" t="s">
        <v>60</v>
      </c>
      <c r="B26" s="1379"/>
      <c r="C26" s="1048"/>
      <c r="D26" s="1048"/>
      <c r="E26" s="1048"/>
      <c r="F26" s="315"/>
      <c r="G26" s="106"/>
      <c r="H26" s="104" t="s">
        <v>61</v>
      </c>
      <c r="I26" s="104"/>
      <c r="J26" s="105" t="s">
        <v>61</v>
      </c>
      <c r="K26" s="104"/>
      <c r="L26" s="105" t="s">
        <v>61</v>
      </c>
      <c r="M26" s="104"/>
      <c r="N26" s="104"/>
    </row>
    <row r="27" spans="1:14">
      <c r="A27" s="1706" t="s">
        <v>62</v>
      </c>
      <c r="B27" s="1707"/>
      <c r="C27" s="1048"/>
      <c r="D27" s="1048"/>
      <c r="E27" s="1048"/>
      <c r="F27" s="315"/>
      <c r="G27" s="106"/>
      <c r="H27" s="104"/>
      <c r="I27" s="104"/>
      <c r="J27" s="105"/>
      <c r="K27" s="104">
        <v>4000</v>
      </c>
      <c r="L27" s="105">
        <v>4000</v>
      </c>
      <c r="M27" s="104"/>
      <c r="N27" s="104"/>
    </row>
    <row r="28" spans="1:14">
      <c r="A28" s="1053" t="s">
        <v>63</v>
      </c>
      <c r="B28" s="1054"/>
      <c r="C28" s="1054"/>
      <c r="D28" s="1054"/>
      <c r="E28" s="1054"/>
      <c r="F28" s="1433"/>
      <c r="G28" s="1057">
        <v>0</v>
      </c>
      <c r="H28" s="1057">
        <v>0</v>
      </c>
      <c r="I28" s="1057">
        <v>0.125</v>
      </c>
      <c r="J28" s="1057">
        <v>0.125</v>
      </c>
      <c r="K28" s="1057">
        <v>0.125</v>
      </c>
      <c r="L28" s="1057">
        <v>0.125</v>
      </c>
      <c r="M28" s="1057"/>
      <c r="N28" s="1057"/>
    </row>
    <row r="29" spans="1:14">
      <c r="A29" s="1053"/>
      <c r="B29" s="1054" t="s">
        <v>64</v>
      </c>
      <c r="C29" s="1058"/>
      <c r="D29" s="1058"/>
      <c r="E29" s="1058"/>
      <c r="F29" s="1434"/>
      <c r="G29" s="115">
        <f t="shared" ref="G29" si="3">(G24+G25+G26+G27)*G28</f>
        <v>0</v>
      </c>
      <c r="H29" s="113">
        <f t="shared" ref="H29" si="4">(H24+H25+H27)*H28</f>
        <v>0</v>
      </c>
      <c r="I29" s="113">
        <f>(I24+I25+I26+I27)*I28</f>
        <v>4702.5</v>
      </c>
      <c r="J29" s="114">
        <f>(J24+J25+J27)*J28</f>
        <v>4702.5</v>
      </c>
      <c r="K29" s="113">
        <f>(K24+K25+K26+K27)*K28</f>
        <v>3963.75</v>
      </c>
      <c r="L29" s="114">
        <f>(L24+L25+L27)*L28</f>
        <v>3963.75</v>
      </c>
      <c r="M29" s="113"/>
      <c r="N29" s="113"/>
    </row>
    <row r="30" spans="1:14">
      <c r="A30" s="1706" t="s">
        <v>65</v>
      </c>
      <c r="B30" s="1707"/>
      <c r="C30" s="1058"/>
      <c r="D30" s="1058"/>
      <c r="E30" s="1060"/>
      <c r="F30" s="1434"/>
      <c r="G30" s="118">
        <v>5.5E-2</v>
      </c>
      <c r="H30" s="118">
        <v>5.5E-2</v>
      </c>
      <c r="I30" s="118">
        <v>0.05</v>
      </c>
      <c r="J30" s="118">
        <v>0.05</v>
      </c>
      <c r="K30" s="118">
        <v>0.05</v>
      </c>
      <c r="L30" s="118">
        <v>0.05</v>
      </c>
      <c r="M30" s="118"/>
      <c r="N30" s="118"/>
    </row>
    <row r="31" spans="1:14">
      <c r="A31" s="1378"/>
      <c r="B31" s="1379" t="s">
        <v>66</v>
      </c>
      <c r="C31" s="1058"/>
      <c r="D31" s="1058"/>
      <c r="E31" s="1060"/>
      <c r="F31" s="1434"/>
      <c r="G31" s="115">
        <f t="shared" ref="G31" si="5">(G29+G25+G26+G27+G24)*G30</f>
        <v>1461.075</v>
      </c>
      <c r="H31" s="113">
        <f t="shared" ref="H31" si="6">(H29+H25+H27+H24)*H30</f>
        <v>1388.02125</v>
      </c>
      <c r="I31" s="113">
        <f>(I29+I25+I26+I27+I24)*I30</f>
        <v>2116.125</v>
      </c>
      <c r="J31" s="114">
        <f>(J29+J25+J27+J24)*J30</f>
        <v>2116.125</v>
      </c>
      <c r="K31" s="113">
        <f>(K29+K25+K26+K27+K24)*K30</f>
        <v>1783.6875</v>
      </c>
      <c r="L31" s="114">
        <f>(L29+L25+L27+L24)*L30</f>
        <v>1783.6875</v>
      </c>
      <c r="M31" s="113"/>
      <c r="N31" s="113"/>
    </row>
    <row r="32" spans="1:14">
      <c r="A32" s="1378" t="s">
        <v>67</v>
      </c>
      <c r="B32" s="1379"/>
      <c r="C32" s="1058"/>
      <c r="D32" s="1058"/>
      <c r="E32" s="1060"/>
      <c r="F32" s="1434"/>
      <c r="G32" s="118"/>
      <c r="H32" s="118"/>
      <c r="I32" s="118"/>
      <c r="J32" s="118"/>
      <c r="K32" s="118"/>
      <c r="L32" s="118"/>
      <c r="M32" s="118"/>
      <c r="N32" s="118"/>
    </row>
    <row r="33" spans="1:14">
      <c r="A33" s="1378"/>
      <c r="B33" s="1379" t="s">
        <v>68</v>
      </c>
      <c r="C33" s="1058"/>
      <c r="D33" s="1058"/>
      <c r="E33" s="1060"/>
      <c r="F33" s="1434"/>
      <c r="G33" s="115">
        <f t="shared" ref="G33" si="7">(G29+G25+G26+G27+G24)*G32</f>
        <v>0</v>
      </c>
      <c r="H33" s="113">
        <f t="shared" ref="H33" si="8">(H29+H25+H27+H24)*H32</f>
        <v>0</v>
      </c>
      <c r="I33" s="113">
        <f>(I29+I25+I26+I27+I24)*I32</f>
        <v>0</v>
      </c>
      <c r="J33" s="114">
        <f>(J29+J25+J27+J24)*J32</f>
        <v>0</v>
      </c>
      <c r="K33" s="113">
        <f>(K29+K25+K26+K27+K24)*K32</f>
        <v>0</v>
      </c>
      <c r="L33" s="114">
        <f>(L29+L25+L27+L24)*L32</f>
        <v>0</v>
      </c>
      <c r="M33" s="113"/>
      <c r="N33" s="113"/>
    </row>
    <row r="34" spans="1:14">
      <c r="A34" s="1706" t="s">
        <v>69</v>
      </c>
      <c r="B34" s="1707"/>
      <c r="C34" s="1058"/>
      <c r="D34" s="1058"/>
      <c r="E34" s="1062"/>
      <c r="F34" s="1434"/>
      <c r="G34" s="119"/>
      <c r="H34" s="118"/>
      <c r="I34" s="118"/>
      <c r="J34" s="121"/>
      <c r="K34" s="118"/>
      <c r="L34" s="121"/>
      <c r="M34" s="118"/>
      <c r="N34" s="118"/>
    </row>
    <row r="35" spans="1:14">
      <c r="A35" s="1380"/>
      <c r="B35" s="1381" t="s">
        <v>70</v>
      </c>
      <c r="C35" s="1065"/>
      <c r="D35" s="1065"/>
      <c r="E35" s="1067"/>
      <c r="F35" s="1435"/>
      <c r="G35" s="115">
        <f t="shared" ref="G35:L35" si="9">G24*G34</f>
        <v>0</v>
      </c>
      <c r="H35" s="113">
        <f t="shared" si="9"/>
        <v>0</v>
      </c>
      <c r="I35" s="113">
        <f t="shared" si="9"/>
        <v>0</v>
      </c>
      <c r="J35" s="114">
        <f t="shared" si="9"/>
        <v>0</v>
      </c>
      <c r="K35" s="113">
        <f t="shared" si="9"/>
        <v>0</v>
      </c>
      <c r="L35" s="114">
        <f t="shared" si="9"/>
        <v>0</v>
      </c>
      <c r="M35" s="113"/>
      <c r="N35" s="113"/>
    </row>
    <row r="36" spans="1:14" ht="13.5" thickBot="1">
      <c r="A36" s="1708"/>
      <c r="B36" s="1709"/>
      <c r="C36" s="1065"/>
      <c r="D36" s="1065"/>
      <c r="E36" s="1065"/>
      <c r="F36" s="319"/>
      <c r="G36" s="130"/>
      <c r="H36" s="128"/>
      <c r="I36" s="128"/>
      <c r="J36" s="129"/>
      <c r="K36" s="128"/>
      <c r="L36" s="129"/>
      <c r="M36" s="128"/>
      <c r="N36" s="128"/>
    </row>
    <row r="37" spans="1:14" ht="13.5" thickBot="1">
      <c r="A37" s="1069" t="s">
        <v>71</v>
      </c>
      <c r="B37" s="1070"/>
      <c r="C37" s="1070"/>
      <c r="D37" s="1070"/>
      <c r="E37" s="1070"/>
      <c r="F37" s="1436"/>
      <c r="G37" s="1073">
        <f>SUM(G24,G25,G27,G29,G31)</f>
        <v>28026.075000000001</v>
      </c>
      <c r="H37" s="1074">
        <f t="shared" ref="H37" si="10">SUM(H24:H36)</f>
        <v>26624.826250000002</v>
      </c>
      <c r="I37" s="1073">
        <f>SUM(I24:I36)</f>
        <v>44438.8</v>
      </c>
      <c r="J37" s="1074">
        <f t="shared" ref="J37:L37" si="11">SUM(J24:J36)</f>
        <v>44438.8</v>
      </c>
      <c r="K37" s="1073">
        <f>SUM(K24:K36)</f>
        <v>37457.612500000003</v>
      </c>
      <c r="L37" s="1074">
        <f t="shared" si="11"/>
        <v>37457.612500000003</v>
      </c>
      <c r="M37" s="1437"/>
      <c r="N37" s="1437"/>
    </row>
    <row r="38" spans="1:14" s="1080" customFormat="1" ht="13.5" thickBot="1">
      <c r="A38" s="1075"/>
      <c r="B38" s="1076"/>
      <c r="C38" s="1076"/>
      <c r="D38" s="1076"/>
      <c r="E38" s="1076"/>
      <c r="F38" s="1438"/>
      <c r="G38" s="1078"/>
      <c r="H38" s="1079"/>
      <c r="I38" s="1078"/>
      <c r="J38" s="1079"/>
      <c r="K38" s="1078"/>
      <c r="L38" s="1079"/>
      <c r="M38" s="1331"/>
      <c r="N38" s="1331"/>
    </row>
    <row r="39" spans="1:14" s="954" customFormat="1" ht="13.5" thickBot="1">
      <c r="A39" s="1069" t="s">
        <v>72</v>
      </c>
      <c r="B39" s="1070"/>
      <c r="C39" s="1070"/>
      <c r="D39" s="1070"/>
      <c r="E39" s="1070"/>
      <c r="F39" s="1436"/>
      <c r="G39" s="1074">
        <f>G24+G27</f>
        <v>26565</v>
      </c>
      <c r="H39" s="1074">
        <f>H24+H27</f>
        <v>25236.75</v>
      </c>
      <c r="I39" s="1074">
        <f>I24+I33+I25+I27+I26</f>
        <v>37620</v>
      </c>
      <c r="J39" s="1081">
        <f t="shared" ref="J39:L39" si="12">J24+J33+J25+J27</f>
        <v>37620</v>
      </c>
      <c r="K39" s="1074">
        <f>K24+K33+K25+K27+K26</f>
        <v>31710</v>
      </c>
      <c r="L39" s="1081">
        <f t="shared" si="12"/>
        <v>31710</v>
      </c>
      <c r="M39" s="1439"/>
      <c r="N39" s="1439"/>
    </row>
    <row r="40" spans="1:14" ht="13.5" thickBot="1">
      <c r="A40" s="1082"/>
      <c r="B40" s="1083"/>
      <c r="C40" s="1084"/>
      <c r="D40" s="1084"/>
      <c r="E40" s="1084"/>
      <c r="F40" s="322"/>
      <c r="G40" s="1108"/>
      <c r="H40" s="1441"/>
      <c r="I40" s="1108"/>
      <c r="J40" s="1440"/>
      <c r="K40" s="1108"/>
      <c r="L40" s="1440"/>
      <c r="M40" s="1442"/>
      <c r="N40" s="1442"/>
    </row>
    <row r="41" spans="1:14">
      <c r="A41" s="1086" t="s">
        <v>73</v>
      </c>
      <c r="B41" s="1087" t="s">
        <v>74</v>
      </c>
      <c r="C41" s="1088"/>
      <c r="D41" s="1088"/>
      <c r="E41" s="1088"/>
      <c r="F41" s="323"/>
      <c r="G41" s="1090" t="s">
        <v>328</v>
      </c>
      <c r="H41" s="1090" t="s">
        <v>348</v>
      </c>
      <c r="I41" s="1090" t="s">
        <v>328</v>
      </c>
      <c r="J41" s="1090" t="s">
        <v>328</v>
      </c>
      <c r="K41" s="1090" t="s">
        <v>328</v>
      </c>
      <c r="L41" s="1090" t="s">
        <v>328</v>
      </c>
      <c r="M41" s="1443"/>
      <c r="N41" s="1443"/>
    </row>
    <row r="42" spans="1:14" ht="13.5" thickBot="1">
      <c r="A42" s="1091" t="s">
        <v>79</v>
      </c>
      <c r="B42" s="1092" t="s">
        <v>80</v>
      </c>
      <c r="C42" s="1093"/>
      <c r="D42" s="1093"/>
      <c r="E42" s="1093"/>
      <c r="F42" s="324"/>
      <c r="G42" s="1446" t="s">
        <v>82</v>
      </c>
      <c r="H42" s="1447" t="s">
        <v>82</v>
      </c>
      <c r="I42" s="1447" t="s">
        <v>82</v>
      </c>
      <c r="J42" s="1447" t="s">
        <v>82</v>
      </c>
      <c r="K42" s="1447" t="s">
        <v>82</v>
      </c>
      <c r="L42" s="1447" t="s">
        <v>82</v>
      </c>
      <c r="M42" s="1090"/>
      <c r="N42" s="1090"/>
    </row>
    <row r="43" spans="1:14" ht="63.75">
      <c r="A43" s="1097" t="s">
        <v>85</v>
      </c>
      <c r="B43" s="1098" t="s">
        <v>86</v>
      </c>
      <c r="C43" s="1099"/>
      <c r="D43" s="1099"/>
      <c r="E43" s="1099"/>
      <c r="F43" s="325"/>
      <c r="G43" s="1448" t="s">
        <v>1926</v>
      </c>
      <c r="H43" s="1448" t="s">
        <v>1926</v>
      </c>
      <c r="I43" s="1448" t="s">
        <v>167</v>
      </c>
      <c r="J43" s="1448" t="s">
        <v>1797</v>
      </c>
      <c r="K43" s="1448" t="s">
        <v>167</v>
      </c>
      <c r="L43" s="1448" t="s">
        <v>1797</v>
      </c>
      <c r="M43" s="1100"/>
      <c r="N43" s="1100"/>
    </row>
    <row r="44" spans="1:14">
      <c r="A44" s="1101" t="s">
        <v>90</v>
      </c>
      <c r="B44" s="1099" t="s">
        <v>91</v>
      </c>
      <c r="C44" s="1099"/>
      <c r="D44" s="1099"/>
      <c r="E44" s="1099"/>
      <c r="F44" s="325"/>
      <c r="G44" s="1449" t="s">
        <v>92</v>
      </c>
      <c r="H44" s="1449" t="s">
        <v>331</v>
      </c>
      <c r="I44" s="1449" t="s">
        <v>92</v>
      </c>
      <c r="J44" s="1449" t="s">
        <v>92</v>
      </c>
      <c r="K44" s="1449" t="s">
        <v>92</v>
      </c>
      <c r="L44" s="1449" t="s">
        <v>92</v>
      </c>
      <c r="M44" s="1100"/>
      <c r="N44" s="1100"/>
    </row>
    <row r="45" spans="1:14">
      <c r="A45" s="1101" t="s">
        <v>93</v>
      </c>
      <c r="B45" s="1098" t="s">
        <v>94</v>
      </c>
      <c r="C45" s="1099"/>
      <c r="D45" s="1099"/>
      <c r="E45" s="1099"/>
      <c r="F45" s="325"/>
      <c r="G45" s="1450"/>
      <c r="H45" s="1452"/>
      <c r="I45" s="1452"/>
      <c r="J45" s="1452"/>
      <c r="K45" s="1452"/>
      <c r="L45" s="1452"/>
      <c r="M45" s="1102"/>
      <c r="N45" s="1102"/>
    </row>
    <row r="46" spans="1:14" ht="140.25">
      <c r="A46" s="1101" t="s">
        <v>95</v>
      </c>
      <c r="B46" s="1098" t="s">
        <v>96</v>
      </c>
      <c r="C46" s="1099"/>
      <c r="D46" s="1099"/>
      <c r="E46" s="1099"/>
      <c r="F46" s="325"/>
      <c r="G46" s="1448" t="s">
        <v>97</v>
      </c>
      <c r="H46" s="1448" t="s">
        <v>98</v>
      </c>
      <c r="I46" s="1448" t="s">
        <v>98</v>
      </c>
      <c r="J46" s="1448" t="s">
        <v>98</v>
      </c>
      <c r="K46" s="1448" t="s">
        <v>98</v>
      </c>
      <c r="L46" s="1448" t="s">
        <v>98</v>
      </c>
      <c r="M46" s="1102"/>
      <c r="N46" s="1102"/>
    </row>
    <row r="47" spans="1:14" ht="64.5" thickBot="1">
      <c r="A47" s="1104" t="s">
        <v>99</v>
      </c>
      <c r="B47" s="1105" t="s">
        <v>100</v>
      </c>
      <c r="C47" s="1106"/>
      <c r="D47" s="1106"/>
      <c r="E47" s="1106"/>
      <c r="F47" s="326"/>
      <c r="G47" s="1453" t="s">
        <v>101</v>
      </c>
      <c r="H47" s="1453" t="s">
        <v>101</v>
      </c>
      <c r="I47" s="1453" t="s">
        <v>101</v>
      </c>
      <c r="J47" s="1453" t="s">
        <v>101</v>
      </c>
      <c r="K47" s="1453" t="s">
        <v>101</v>
      </c>
      <c r="L47" s="1453" t="s">
        <v>101</v>
      </c>
      <c r="M47" s="1454"/>
      <c r="N47" s="1454"/>
    </row>
    <row r="48" spans="1:14">
      <c r="A48" s="1710" t="s">
        <v>102</v>
      </c>
      <c r="B48" s="1711"/>
      <c r="C48" s="1712"/>
      <c r="D48" s="1382"/>
      <c r="E48" s="1695" t="s">
        <v>103</v>
      </c>
      <c r="F48" s="1696"/>
      <c r="G48" s="1697"/>
      <c r="H48" s="1698" t="s">
        <v>104</v>
      </c>
      <c r="I48" s="1699"/>
      <c r="J48" s="1699"/>
      <c r="K48" s="1699"/>
      <c r="L48" s="1699"/>
      <c r="M48" s="1699"/>
      <c r="N48" s="1700"/>
    </row>
    <row r="49" spans="1:14" ht="13.5" thickBot="1">
      <c r="A49" s="1710"/>
      <c r="B49" s="1711"/>
      <c r="C49" s="1712"/>
      <c r="D49" s="1382"/>
      <c r="E49" s="1695"/>
      <c r="F49" s="1696"/>
      <c r="G49" s="1697"/>
      <c r="H49" s="1701"/>
      <c r="I49" s="1702"/>
      <c r="J49" s="1702"/>
      <c r="K49" s="1702"/>
      <c r="L49" s="1702"/>
      <c r="M49" s="1702"/>
      <c r="N49" s="1703"/>
    </row>
    <row r="50" spans="1:14">
      <c r="A50" s="1108"/>
      <c r="B50" s="1109"/>
      <c r="C50" s="1110"/>
      <c r="D50" s="1110"/>
      <c r="E50" s="1110"/>
      <c r="F50" s="328"/>
      <c r="G50" s="1110"/>
      <c r="H50" s="1110"/>
      <c r="I50" s="1110"/>
      <c r="J50" s="1110"/>
      <c r="K50" s="1110"/>
      <c r="L50" s="1110"/>
      <c r="M50" s="1110"/>
      <c r="N50" s="1455"/>
    </row>
    <row r="51" spans="1:14">
      <c r="A51" s="1112"/>
      <c r="B51" s="1113"/>
      <c r="C51" s="1111"/>
      <c r="D51" s="1111"/>
      <c r="E51" s="1111"/>
      <c r="F51" s="329"/>
      <c r="G51" s="1111"/>
      <c r="H51" s="1111"/>
      <c r="I51" s="1111"/>
      <c r="J51" s="1111"/>
      <c r="K51" s="1111"/>
      <c r="L51" s="1111"/>
      <c r="M51" s="1111"/>
      <c r="N51" s="1456"/>
    </row>
    <row r="52" spans="1:14">
      <c r="A52" s="1112"/>
      <c r="B52" s="972" t="s">
        <v>105</v>
      </c>
      <c r="C52" s="974"/>
      <c r="D52" s="974"/>
      <c r="E52" s="974"/>
      <c r="F52" s="1457" t="s">
        <v>106</v>
      </c>
      <c r="G52" s="974"/>
      <c r="H52" s="974"/>
      <c r="I52" s="974" t="s">
        <v>107</v>
      </c>
      <c r="J52" s="1111"/>
      <c r="K52" s="1111"/>
      <c r="L52" s="1111"/>
      <c r="M52" s="1111"/>
      <c r="N52" s="1456"/>
    </row>
    <row r="53" spans="1:14" ht="13.5" thickBot="1">
      <c r="A53" s="1114"/>
      <c r="B53" s="1115"/>
      <c r="C53" s="1116"/>
      <c r="D53" s="1116"/>
      <c r="E53" s="1116"/>
      <c r="F53" s="1458"/>
      <c r="G53" s="1116"/>
      <c r="H53" s="1116"/>
      <c r="I53" s="1116"/>
      <c r="J53" s="1116"/>
      <c r="K53" s="1116"/>
      <c r="L53" s="1116"/>
      <c r="M53" s="1116"/>
      <c r="N53" s="1459"/>
    </row>
  </sheetData>
  <mergeCells count="31">
    <mergeCell ref="A2:N2"/>
    <mergeCell ref="A3:N3"/>
    <mergeCell ref="F4:F5"/>
    <mergeCell ref="A7:A12"/>
    <mergeCell ref="B7:B12"/>
    <mergeCell ref="C7:C12"/>
    <mergeCell ref="E7:E12"/>
    <mergeCell ref="F7:F12"/>
    <mergeCell ref="G7:H7"/>
    <mergeCell ref="I7:J7"/>
    <mergeCell ref="K7:L7"/>
    <mergeCell ref="M7:N7"/>
    <mergeCell ref="G8:H9"/>
    <mergeCell ref="I8:J9"/>
    <mergeCell ref="K8:L9"/>
    <mergeCell ref="M8:N9"/>
    <mergeCell ref="G10:H10"/>
    <mergeCell ref="I10:J10"/>
    <mergeCell ref="K10:L10"/>
    <mergeCell ref="M10:N10"/>
    <mergeCell ref="G11:H11"/>
    <mergeCell ref="I11:J11"/>
    <mergeCell ref="K11:L11"/>
    <mergeCell ref="E48:G49"/>
    <mergeCell ref="H48:N49"/>
    <mergeCell ref="A25:B25"/>
    <mergeCell ref="A27:B27"/>
    <mergeCell ref="A30:B30"/>
    <mergeCell ref="A34:B34"/>
    <mergeCell ref="A36:B36"/>
    <mergeCell ref="A48:C4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topLeftCell="B4" zoomScaleNormal="100" workbookViewId="0">
      <selection activeCell="D13" sqref="D13"/>
    </sheetView>
  </sheetViews>
  <sheetFormatPr defaultRowHeight="12.75"/>
  <cols>
    <col min="1" max="1" width="6.140625" style="956" customWidth="1"/>
    <col min="2" max="2" width="52.7109375" style="973" customWidth="1"/>
    <col min="3" max="3" width="11.7109375" style="956" customWidth="1"/>
    <col min="4" max="4" width="18.28515625" style="956" customWidth="1"/>
    <col min="5" max="5" width="6.140625" style="956" customWidth="1"/>
    <col min="6" max="6" width="12.7109375" style="1460" customWidth="1"/>
    <col min="7" max="7" width="21.85546875" style="956" customWidth="1"/>
    <col min="8" max="8" width="19.140625" style="956" customWidth="1"/>
    <col min="9" max="9" width="20.5703125" style="956" customWidth="1"/>
    <col min="10" max="10" width="18.85546875" style="956" customWidth="1"/>
    <col min="11" max="11" width="14.85546875" style="956" customWidth="1"/>
    <col min="12" max="12" width="18" style="956" customWidth="1"/>
    <col min="13" max="13" width="12.28515625" style="956" customWidth="1"/>
    <col min="14" max="14" width="13" style="956" customWidth="1"/>
    <col min="15" max="249" width="9.140625" style="956"/>
    <col min="250" max="250" width="4" style="956" customWidth="1"/>
    <col min="251" max="251" width="30.7109375" style="956" customWidth="1"/>
    <col min="252" max="253" width="10" style="956" customWidth="1"/>
    <col min="254" max="254" width="9.85546875" style="956" customWidth="1"/>
    <col min="255" max="255" width="12.42578125" style="956" customWidth="1"/>
    <col min="256" max="261" width="12.7109375" style="956" customWidth="1"/>
    <col min="262" max="262" width="13" style="956" customWidth="1"/>
    <col min="263" max="264" width="12.7109375" style="956" customWidth="1"/>
    <col min="265" max="265" width="9.140625" style="956"/>
    <col min="266" max="266" width="11.140625" style="956" bestFit="1" customWidth="1"/>
    <col min="267" max="505" width="9.140625" style="956"/>
    <col min="506" max="506" width="4" style="956" customWidth="1"/>
    <col min="507" max="507" width="30.7109375" style="956" customWidth="1"/>
    <col min="508" max="509" width="10" style="956" customWidth="1"/>
    <col min="510" max="510" width="9.85546875" style="956" customWidth="1"/>
    <col min="511" max="511" width="12.42578125" style="956" customWidth="1"/>
    <col min="512" max="517" width="12.7109375" style="956" customWidth="1"/>
    <col min="518" max="518" width="13" style="956" customWidth="1"/>
    <col min="519" max="520" width="12.7109375" style="956" customWidth="1"/>
    <col min="521" max="521" width="9.140625" style="956"/>
    <col min="522" max="522" width="11.140625" style="956" bestFit="1" customWidth="1"/>
    <col min="523" max="761" width="9.140625" style="956"/>
    <col min="762" max="762" width="4" style="956" customWidth="1"/>
    <col min="763" max="763" width="30.7109375" style="956" customWidth="1"/>
    <col min="764" max="765" width="10" style="956" customWidth="1"/>
    <col min="766" max="766" width="9.85546875" style="956" customWidth="1"/>
    <col min="767" max="767" width="12.42578125" style="956" customWidth="1"/>
    <col min="768" max="773" width="12.7109375" style="956" customWidth="1"/>
    <col min="774" max="774" width="13" style="956" customWidth="1"/>
    <col min="775" max="776" width="12.7109375" style="956" customWidth="1"/>
    <col min="777" max="777" width="9.140625" style="956"/>
    <col min="778" max="778" width="11.140625" style="956" bestFit="1" customWidth="1"/>
    <col min="779" max="1017" width="9.140625" style="956"/>
    <col min="1018" max="1018" width="4" style="956" customWidth="1"/>
    <col min="1019" max="1019" width="30.7109375" style="956" customWidth="1"/>
    <col min="1020" max="1021" width="10" style="956" customWidth="1"/>
    <col min="1022" max="1022" width="9.85546875" style="956" customWidth="1"/>
    <col min="1023" max="1023" width="12.42578125" style="956" customWidth="1"/>
    <col min="1024" max="1029" width="12.7109375" style="956" customWidth="1"/>
    <col min="1030" max="1030" width="13" style="956" customWidth="1"/>
    <col min="1031" max="1032" width="12.7109375" style="956" customWidth="1"/>
    <col min="1033" max="1033" width="9.140625" style="956"/>
    <col min="1034" max="1034" width="11.140625" style="956" bestFit="1" customWidth="1"/>
    <col min="1035" max="1273" width="9.140625" style="956"/>
    <col min="1274" max="1274" width="4" style="956" customWidth="1"/>
    <col min="1275" max="1275" width="30.7109375" style="956" customWidth="1"/>
    <col min="1276" max="1277" width="10" style="956" customWidth="1"/>
    <col min="1278" max="1278" width="9.85546875" style="956" customWidth="1"/>
    <col min="1279" max="1279" width="12.42578125" style="956" customWidth="1"/>
    <col min="1280" max="1285" width="12.7109375" style="956" customWidth="1"/>
    <col min="1286" max="1286" width="13" style="956" customWidth="1"/>
    <col min="1287" max="1288" width="12.7109375" style="956" customWidth="1"/>
    <col min="1289" max="1289" width="9.140625" style="956"/>
    <col min="1290" max="1290" width="11.140625" style="956" bestFit="1" customWidth="1"/>
    <col min="1291" max="1529" width="9.140625" style="956"/>
    <col min="1530" max="1530" width="4" style="956" customWidth="1"/>
    <col min="1531" max="1531" width="30.7109375" style="956" customWidth="1"/>
    <col min="1532" max="1533" width="10" style="956" customWidth="1"/>
    <col min="1534" max="1534" width="9.85546875" style="956" customWidth="1"/>
    <col min="1535" max="1535" width="12.42578125" style="956" customWidth="1"/>
    <col min="1536" max="1541" width="12.7109375" style="956" customWidth="1"/>
    <col min="1542" max="1542" width="13" style="956" customWidth="1"/>
    <col min="1543" max="1544" width="12.7109375" style="956" customWidth="1"/>
    <col min="1545" max="1545" width="9.140625" style="956"/>
    <col min="1546" max="1546" width="11.140625" style="956" bestFit="1" customWidth="1"/>
    <col min="1547" max="1785" width="9.140625" style="956"/>
    <col min="1786" max="1786" width="4" style="956" customWidth="1"/>
    <col min="1787" max="1787" width="30.7109375" style="956" customWidth="1"/>
    <col min="1788" max="1789" width="10" style="956" customWidth="1"/>
    <col min="1790" max="1790" width="9.85546875" style="956" customWidth="1"/>
    <col min="1791" max="1791" width="12.42578125" style="956" customWidth="1"/>
    <col min="1792" max="1797" width="12.7109375" style="956" customWidth="1"/>
    <col min="1798" max="1798" width="13" style="956" customWidth="1"/>
    <col min="1799" max="1800" width="12.7109375" style="956" customWidth="1"/>
    <col min="1801" max="1801" width="9.140625" style="956"/>
    <col min="1802" max="1802" width="11.140625" style="956" bestFit="1" customWidth="1"/>
    <col min="1803" max="2041" width="9.140625" style="956"/>
    <col min="2042" max="2042" width="4" style="956" customWidth="1"/>
    <col min="2043" max="2043" width="30.7109375" style="956" customWidth="1"/>
    <col min="2044" max="2045" width="10" style="956" customWidth="1"/>
    <col min="2046" max="2046" width="9.85546875" style="956" customWidth="1"/>
    <col min="2047" max="2047" width="12.42578125" style="956" customWidth="1"/>
    <col min="2048" max="2053" width="12.7109375" style="956" customWidth="1"/>
    <col min="2054" max="2054" width="13" style="956" customWidth="1"/>
    <col min="2055" max="2056" width="12.7109375" style="956" customWidth="1"/>
    <col min="2057" max="2057" width="9.140625" style="956"/>
    <col min="2058" max="2058" width="11.140625" style="956" bestFit="1" customWidth="1"/>
    <col min="2059" max="2297" width="9.140625" style="956"/>
    <col min="2298" max="2298" width="4" style="956" customWidth="1"/>
    <col min="2299" max="2299" width="30.7109375" style="956" customWidth="1"/>
    <col min="2300" max="2301" width="10" style="956" customWidth="1"/>
    <col min="2302" max="2302" width="9.85546875" style="956" customWidth="1"/>
    <col min="2303" max="2303" width="12.42578125" style="956" customWidth="1"/>
    <col min="2304" max="2309" width="12.7109375" style="956" customWidth="1"/>
    <col min="2310" max="2310" width="13" style="956" customWidth="1"/>
    <col min="2311" max="2312" width="12.7109375" style="956" customWidth="1"/>
    <col min="2313" max="2313" width="9.140625" style="956"/>
    <col min="2314" max="2314" width="11.140625" style="956" bestFit="1" customWidth="1"/>
    <col min="2315" max="2553" width="9.140625" style="956"/>
    <col min="2554" max="2554" width="4" style="956" customWidth="1"/>
    <col min="2555" max="2555" width="30.7109375" style="956" customWidth="1"/>
    <col min="2556" max="2557" width="10" style="956" customWidth="1"/>
    <col min="2558" max="2558" width="9.85546875" style="956" customWidth="1"/>
    <col min="2559" max="2559" width="12.42578125" style="956" customWidth="1"/>
    <col min="2560" max="2565" width="12.7109375" style="956" customWidth="1"/>
    <col min="2566" max="2566" width="13" style="956" customWidth="1"/>
    <col min="2567" max="2568" width="12.7109375" style="956" customWidth="1"/>
    <col min="2569" max="2569" width="9.140625" style="956"/>
    <col min="2570" max="2570" width="11.140625" style="956" bestFit="1" customWidth="1"/>
    <col min="2571" max="2809" width="9.140625" style="956"/>
    <col min="2810" max="2810" width="4" style="956" customWidth="1"/>
    <col min="2811" max="2811" width="30.7109375" style="956" customWidth="1"/>
    <col min="2812" max="2813" width="10" style="956" customWidth="1"/>
    <col min="2814" max="2814" width="9.85546875" style="956" customWidth="1"/>
    <col min="2815" max="2815" width="12.42578125" style="956" customWidth="1"/>
    <col min="2816" max="2821" width="12.7109375" style="956" customWidth="1"/>
    <col min="2822" max="2822" width="13" style="956" customWidth="1"/>
    <col min="2823" max="2824" width="12.7109375" style="956" customWidth="1"/>
    <col min="2825" max="2825" width="9.140625" style="956"/>
    <col min="2826" max="2826" width="11.140625" style="956" bestFit="1" customWidth="1"/>
    <col min="2827" max="3065" width="9.140625" style="956"/>
    <col min="3066" max="3066" width="4" style="956" customWidth="1"/>
    <col min="3067" max="3067" width="30.7109375" style="956" customWidth="1"/>
    <col min="3068" max="3069" width="10" style="956" customWidth="1"/>
    <col min="3070" max="3070" width="9.85546875" style="956" customWidth="1"/>
    <col min="3071" max="3071" width="12.42578125" style="956" customWidth="1"/>
    <col min="3072" max="3077" width="12.7109375" style="956" customWidth="1"/>
    <col min="3078" max="3078" width="13" style="956" customWidth="1"/>
    <col min="3079" max="3080" width="12.7109375" style="956" customWidth="1"/>
    <col min="3081" max="3081" width="9.140625" style="956"/>
    <col min="3082" max="3082" width="11.140625" style="956" bestFit="1" customWidth="1"/>
    <col min="3083" max="3321" width="9.140625" style="956"/>
    <col min="3322" max="3322" width="4" style="956" customWidth="1"/>
    <col min="3323" max="3323" width="30.7109375" style="956" customWidth="1"/>
    <col min="3324" max="3325" width="10" style="956" customWidth="1"/>
    <col min="3326" max="3326" width="9.85546875" style="956" customWidth="1"/>
    <col min="3327" max="3327" width="12.42578125" style="956" customWidth="1"/>
    <col min="3328" max="3333" width="12.7109375" style="956" customWidth="1"/>
    <col min="3334" max="3334" width="13" style="956" customWidth="1"/>
    <col min="3335" max="3336" width="12.7109375" style="956" customWidth="1"/>
    <col min="3337" max="3337" width="9.140625" style="956"/>
    <col min="3338" max="3338" width="11.140625" style="956" bestFit="1" customWidth="1"/>
    <col min="3339" max="3577" width="9.140625" style="956"/>
    <col min="3578" max="3578" width="4" style="956" customWidth="1"/>
    <col min="3579" max="3579" width="30.7109375" style="956" customWidth="1"/>
    <col min="3580" max="3581" width="10" style="956" customWidth="1"/>
    <col min="3582" max="3582" width="9.85546875" style="956" customWidth="1"/>
    <col min="3583" max="3583" width="12.42578125" style="956" customWidth="1"/>
    <col min="3584" max="3589" width="12.7109375" style="956" customWidth="1"/>
    <col min="3590" max="3590" width="13" style="956" customWidth="1"/>
    <col min="3591" max="3592" width="12.7109375" style="956" customWidth="1"/>
    <col min="3593" max="3593" width="9.140625" style="956"/>
    <col min="3594" max="3594" width="11.140625" style="956" bestFit="1" customWidth="1"/>
    <col min="3595" max="3833" width="9.140625" style="956"/>
    <col min="3834" max="3834" width="4" style="956" customWidth="1"/>
    <col min="3835" max="3835" width="30.7109375" style="956" customWidth="1"/>
    <col min="3836" max="3837" width="10" style="956" customWidth="1"/>
    <col min="3838" max="3838" width="9.85546875" style="956" customWidth="1"/>
    <col min="3839" max="3839" width="12.42578125" style="956" customWidth="1"/>
    <col min="3840" max="3845" width="12.7109375" style="956" customWidth="1"/>
    <col min="3846" max="3846" width="13" style="956" customWidth="1"/>
    <col min="3847" max="3848" width="12.7109375" style="956" customWidth="1"/>
    <col min="3849" max="3849" width="9.140625" style="956"/>
    <col min="3850" max="3850" width="11.140625" style="956" bestFit="1" customWidth="1"/>
    <col min="3851" max="4089" width="9.140625" style="956"/>
    <col min="4090" max="4090" width="4" style="956" customWidth="1"/>
    <col min="4091" max="4091" width="30.7109375" style="956" customWidth="1"/>
    <col min="4092" max="4093" width="10" style="956" customWidth="1"/>
    <col min="4094" max="4094" width="9.85546875" style="956" customWidth="1"/>
    <col min="4095" max="4095" width="12.42578125" style="956" customWidth="1"/>
    <col min="4096" max="4101" width="12.7109375" style="956" customWidth="1"/>
    <col min="4102" max="4102" width="13" style="956" customWidth="1"/>
    <col min="4103" max="4104" width="12.7109375" style="956" customWidth="1"/>
    <col min="4105" max="4105" width="9.140625" style="956"/>
    <col min="4106" max="4106" width="11.140625" style="956" bestFit="1" customWidth="1"/>
    <col min="4107" max="4345" width="9.140625" style="956"/>
    <col min="4346" max="4346" width="4" style="956" customWidth="1"/>
    <col min="4347" max="4347" width="30.7109375" style="956" customWidth="1"/>
    <col min="4348" max="4349" width="10" style="956" customWidth="1"/>
    <col min="4350" max="4350" width="9.85546875" style="956" customWidth="1"/>
    <col min="4351" max="4351" width="12.42578125" style="956" customWidth="1"/>
    <col min="4352" max="4357" width="12.7109375" style="956" customWidth="1"/>
    <col min="4358" max="4358" width="13" style="956" customWidth="1"/>
    <col min="4359" max="4360" width="12.7109375" style="956" customWidth="1"/>
    <col min="4361" max="4361" width="9.140625" style="956"/>
    <col min="4362" max="4362" width="11.140625" style="956" bestFit="1" customWidth="1"/>
    <col min="4363" max="4601" width="9.140625" style="956"/>
    <col min="4602" max="4602" width="4" style="956" customWidth="1"/>
    <col min="4603" max="4603" width="30.7109375" style="956" customWidth="1"/>
    <col min="4604" max="4605" width="10" style="956" customWidth="1"/>
    <col min="4606" max="4606" width="9.85546875" style="956" customWidth="1"/>
    <col min="4607" max="4607" width="12.42578125" style="956" customWidth="1"/>
    <col min="4608" max="4613" width="12.7109375" style="956" customWidth="1"/>
    <col min="4614" max="4614" width="13" style="956" customWidth="1"/>
    <col min="4615" max="4616" width="12.7109375" style="956" customWidth="1"/>
    <col min="4617" max="4617" width="9.140625" style="956"/>
    <col min="4618" max="4618" width="11.140625" style="956" bestFit="1" customWidth="1"/>
    <col min="4619" max="4857" width="9.140625" style="956"/>
    <col min="4858" max="4858" width="4" style="956" customWidth="1"/>
    <col min="4859" max="4859" width="30.7109375" style="956" customWidth="1"/>
    <col min="4860" max="4861" width="10" style="956" customWidth="1"/>
    <col min="4862" max="4862" width="9.85546875" style="956" customWidth="1"/>
    <col min="4863" max="4863" width="12.42578125" style="956" customWidth="1"/>
    <col min="4864" max="4869" width="12.7109375" style="956" customWidth="1"/>
    <col min="4870" max="4870" width="13" style="956" customWidth="1"/>
    <col min="4871" max="4872" width="12.7109375" style="956" customWidth="1"/>
    <col min="4873" max="4873" width="9.140625" style="956"/>
    <col min="4874" max="4874" width="11.140625" style="956" bestFit="1" customWidth="1"/>
    <col min="4875" max="5113" width="9.140625" style="956"/>
    <col min="5114" max="5114" width="4" style="956" customWidth="1"/>
    <col min="5115" max="5115" width="30.7109375" style="956" customWidth="1"/>
    <col min="5116" max="5117" width="10" style="956" customWidth="1"/>
    <col min="5118" max="5118" width="9.85546875" style="956" customWidth="1"/>
    <col min="5119" max="5119" width="12.42578125" style="956" customWidth="1"/>
    <col min="5120" max="5125" width="12.7109375" style="956" customWidth="1"/>
    <col min="5126" max="5126" width="13" style="956" customWidth="1"/>
    <col min="5127" max="5128" width="12.7109375" style="956" customWidth="1"/>
    <col min="5129" max="5129" width="9.140625" style="956"/>
    <col min="5130" max="5130" width="11.140625" style="956" bestFit="1" customWidth="1"/>
    <col min="5131" max="5369" width="9.140625" style="956"/>
    <col min="5370" max="5370" width="4" style="956" customWidth="1"/>
    <col min="5371" max="5371" width="30.7109375" style="956" customWidth="1"/>
    <col min="5372" max="5373" width="10" style="956" customWidth="1"/>
    <col min="5374" max="5374" width="9.85546875" style="956" customWidth="1"/>
    <col min="5375" max="5375" width="12.42578125" style="956" customWidth="1"/>
    <col min="5376" max="5381" width="12.7109375" style="956" customWidth="1"/>
    <col min="5382" max="5382" width="13" style="956" customWidth="1"/>
    <col min="5383" max="5384" width="12.7109375" style="956" customWidth="1"/>
    <col min="5385" max="5385" width="9.140625" style="956"/>
    <col min="5386" max="5386" width="11.140625" style="956" bestFit="1" customWidth="1"/>
    <col min="5387" max="5625" width="9.140625" style="956"/>
    <col min="5626" max="5626" width="4" style="956" customWidth="1"/>
    <col min="5627" max="5627" width="30.7109375" style="956" customWidth="1"/>
    <col min="5628" max="5629" width="10" style="956" customWidth="1"/>
    <col min="5630" max="5630" width="9.85546875" style="956" customWidth="1"/>
    <col min="5631" max="5631" width="12.42578125" style="956" customWidth="1"/>
    <col min="5632" max="5637" width="12.7109375" style="956" customWidth="1"/>
    <col min="5638" max="5638" width="13" style="956" customWidth="1"/>
    <col min="5639" max="5640" width="12.7109375" style="956" customWidth="1"/>
    <col min="5641" max="5641" width="9.140625" style="956"/>
    <col min="5642" max="5642" width="11.140625" style="956" bestFit="1" customWidth="1"/>
    <col min="5643" max="5881" width="9.140625" style="956"/>
    <col min="5882" max="5882" width="4" style="956" customWidth="1"/>
    <col min="5883" max="5883" width="30.7109375" style="956" customWidth="1"/>
    <col min="5884" max="5885" width="10" style="956" customWidth="1"/>
    <col min="5886" max="5886" width="9.85546875" style="956" customWidth="1"/>
    <col min="5887" max="5887" width="12.42578125" style="956" customWidth="1"/>
    <col min="5888" max="5893" width="12.7109375" style="956" customWidth="1"/>
    <col min="5894" max="5894" width="13" style="956" customWidth="1"/>
    <col min="5895" max="5896" width="12.7109375" style="956" customWidth="1"/>
    <col min="5897" max="5897" width="9.140625" style="956"/>
    <col min="5898" max="5898" width="11.140625" style="956" bestFit="1" customWidth="1"/>
    <col min="5899" max="6137" width="9.140625" style="956"/>
    <col min="6138" max="6138" width="4" style="956" customWidth="1"/>
    <col min="6139" max="6139" width="30.7109375" style="956" customWidth="1"/>
    <col min="6140" max="6141" width="10" style="956" customWidth="1"/>
    <col min="6142" max="6142" width="9.85546875" style="956" customWidth="1"/>
    <col min="6143" max="6143" width="12.42578125" style="956" customWidth="1"/>
    <col min="6144" max="6149" width="12.7109375" style="956" customWidth="1"/>
    <col min="6150" max="6150" width="13" style="956" customWidth="1"/>
    <col min="6151" max="6152" width="12.7109375" style="956" customWidth="1"/>
    <col min="6153" max="6153" width="9.140625" style="956"/>
    <col min="6154" max="6154" width="11.140625" style="956" bestFit="1" customWidth="1"/>
    <col min="6155" max="6393" width="9.140625" style="956"/>
    <col min="6394" max="6394" width="4" style="956" customWidth="1"/>
    <col min="6395" max="6395" width="30.7109375" style="956" customWidth="1"/>
    <col min="6396" max="6397" width="10" style="956" customWidth="1"/>
    <col min="6398" max="6398" width="9.85546875" style="956" customWidth="1"/>
    <col min="6399" max="6399" width="12.42578125" style="956" customWidth="1"/>
    <col min="6400" max="6405" width="12.7109375" style="956" customWidth="1"/>
    <col min="6406" max="6406" width="13" style="956" customWidth="1"/>
    <col min="6407" max="6408" width="12.7109375" style="956" customWidth="1"/>
    <col min="6409" max="6409" width="9.140625" style="956"/>
    <col min="6410" max="6410" width="11.140625" style="956" bestFit="1" customWidth="1"/>
    <col min="6411" max="6649" width="9.140625" style="956"/>
    <col min="6650" max="6650" width="4" style="956" customWidth="1"/>
    <col min="6651" max="6651" width="30.7109375" style="956" customWidth="1"/>
    <col min="6652" max="6653" width="10" style="956" customWidth="1"/>
    <col min="6654" max="6654" width="9.85546875" style="956" customWidth="1"/>
    <col min="6655" max="6655" width="12.42578125" style="956" customWidth="1"/>
    <col min="6656" max="6661" width="12.7109375" style="956" customWidth="1"/>
    <col min="6662" max="6662" width="13" style="956" customWidth="1"/>
    <col min="6663" max="6664" width="12.7109375" style="956" customWidth="1"/>
    <col min="6665" max="6665" width="9.140625" style="956"/>
    <col min="6666" max="6666" width="11.140625" style="956" bestFit="1" customWidth="1"/>
    <col min="6667" max="6905" width="9.140625" style="956"/>
    <col min="6906" max="6906" width="4" style="956" customWidth="1"/>
    <col min="6907" max="6907" width="30.7109375" style="956" customWidth="1"/>
    <col min="6908" max="6909" width="10" style="956" customWidth="1"/>
    <col min="6910" max="6910" width="9.85546875" style="956" customWidth="1"/>
    <col min="6911" max="6911" width="12.42578125" style="956" customWidth="1"/>
    <col min="6912" max="6917" width="12.7109375" style="956" customWidth="1"/>
    <col min="6918" max="6918" width="13" style="956" customWidth="1"/>
    <col min="6919" max="6920" width="12.7109375" style="956" customWidth="1"/>
    <col min="6921" max="6921" width="9.140625" style="956"/>
    <col min="6922" max="6922" width="11.140625" style="956" bestFit="1" customWidth="1"/>
    <col min="6923" max="7161" width="9.140625" style="956"/>
    <col min="7162" max="7162" width="4" style="956" customWidth="1"/>
    <col min="7163" max="7163" width="30.7109375" style="956" customWidth="1"/>
    <col min="7164" max="7165" width="10" style="956" customWidth="1"/>
    <col min="7166" max="7166" width="9.85546875" style="956" customWidth="1"/>
    <col min="7167" max="7167" width="12.42578125" style="956" customWidth="1"/>
    <col min="7168" max="7173" width="12.7109375" style="956" customWidth="1"/>
    <col min="7174" max="7174" width="13" style="956" customWidth="1"/>
    <col min="7175" max="7176" width="12.7109375" style="956" customWidth="1"/>
    <col min="7177" max="7177" width="9.140625" style="956"/>
    <col min="7178" max="7178" width="11.140625" style="956" bestFit="1" customWidth="1"/>
    <col min="7179" max="7417" width="9.140625" style="956"/>
    <col min="7418" max="7418" width="4" style="956" customWidth="1"/>
    <col min="7419" max="7419" width="30.7109375" style="956" customWidth="1"/>
    <col min="7420" max="7421" width="10" style="956" customWidth="1"/>
    <col min="7422" max="7422" width="9.85546875" style="956" customWidth="1"/>
    <col min="7423" max="7423" width="12.42578125" style="956" customWidth="1"/>
    <col min="7424" max="7429" width="12.7109375" style="956" customWidth="1"/>
    <col min="7430" max="7430" width="13" style="956" customWidth="1"/>
    <col min="7431" max="7432" width="12.7109375" style="956" customWidth="1"/>
    <col min="7433" max="7433" width="9.140625" style="956"/>
    <col min="7434" max="7434" width="11.140625" style="956" bestFit="1" customWidth="1"/>
    <col min="7435" max="7673" width="9.140625" style="956"/>
    <col min="7674" max="7674" width="4" style="956" customWidth="1"/>
    <col min="7675" max="7675" width="30.7109375" style="956" customWidth="1"/>
    <col min="7676" max="7677" width="10" style="956" customWidth="1"/>
    <col min="7678" max="7678" width="9.85546875" style="956" customWidth="1"/>
    <col min="7679" max="7679" width="12.42578125" style="956" customWidth="1"/>
    <col min="7680" max="7685" width="12.7109375" style="956" customWidth="1"/>
    <col min="7686" max="7686" width="13" style="956" customWidth="1"/>
    <col min="7687" max="7688" width="12.7109375" style="956" customWidth="1"/>
    <col min="7689" max="7689" width="9.140625" style="956"/>
    <col min="7690" max="7690" width="11.140625" style="956" bestFit="1" customWidth="1"/>
    <col min="7691" max="7929" width="9.140625" style="956"/>
    <col min="7930" max="7930" width="4" style="956" customWidth="1"/>
    <col min="7931" max="7931" width="30.7109375" style="956" customWidth="1"/>
    <col min="7932" max="7933" width="10" style="956" customWidth="1"/>
    <col min="7934" max="7934" width="9.85546875" style="956" customWidth="1"/>
    <col min="7935" max="7935" width="12.42578125" style="956" customWidth="1"/>
    <col min="7936" max="7941" width="12.7109375" style="956" customWidth="1"/>
    <col min="7942" max="7942" width="13" style="956" customWidth="1"/>
    <col min="7943" max="7944" width="12.7109375" style="956" customWidth="1"/>
    <col min="7945" max="7945" width="9.140625" style="956"/>
    <col min="7946" max="7946" width="11.140625" style="956" bestFit="1" customWidth="1"/>
    <col min="7947" max="8185" width="9.140625" style="956"/>
    <col min="8186" max="8186" width="4" style="956" customWidth="1"/>
    <col min="8187" max="8187" width="30.7109375" style="956" customWidth="1"/>
    <col min="8188" max="8189" width="10" style="956" customWidth="1"/>
    <col min="8190" max="8190" width="9.85546875" style="956" customWidth="1"/>
    <col min="8191" max="8191" width="12.42578125" style="956" customWidth="1"/>
    <col min="8192" max="8197" width="12.7109375" style="956" customWidth="1"/>
    <col min="8198" max="8198" width="13" style="956" customWidth="1"/>
    <col min="8199" max="8200" width="12.7109375" style="956" customWidth="1"/>
    <col min="8201" max="8201" width="9.140625" style="956"/>
    <col min="8202" max="8202" width="11.140625" style="956" bestFit="1" customWidth="1"/>
    <col min="8203" max="8441" width="9.140625" style="956"/>
    <col min="8442" max="8442" width="4" style="956" customWidth="1"/>
    <col min="8443" max="8443" width="30.7109375" style="956" customWidth="1"/>
    <col min="8444" max="8445" width="10" style="956" customWidth="1"/>
    <col min="8446" max="8446" width="9.85546875" style="956" customWidth="1"/>
    <col min="8447" max="8447" width="12.42578125" style="956" customWidth="1"/>
    <col min="8448" max="8453" width="12.7109375" style="956" customWidth="1"/>
    <col min="8454" max="8454" width="13" style="956" customWidth="1"/>
    <col min="8455" max="8456" width="12.7109375" style="956" customWidth="1"/>
    <col min="8457" max="8457" width="9.140625" style="956"/>
    <col min="8458" max="8458" width="11.140625" style="956" bestFit="1" customWidth="1"/>
    <col min="8459" max="8697" width="9.140625" style="956"/>
    <col min="8698" max="8698" width="4" style="956" customWidth="1"/>
    <col min="8699" max="8699" width="30.7109375" style="956" customWidth="1"/>
    <col min="8700" max="8701" width="10" style="956" customWidth="1"/>
    <col min="8702" max="8702" width="9.85546875" style="956" customWidth="1"/>
    <col min="8703" max="8703" width="12.42578125" style="956" customWidth="1"/>
    <col min="8704" max="8709" width="12.7109375" style="956" customWidth="1"/>
    <col min="8710" max="8710" width="13" style="956" customWidth="1"/>
    <col min="8711" max="8712" width="12.7109375" style="956" customWidth="1"/>
    <col min="8713" max="8713" width="9.140625" style="956"/>
    <col min="8714" max="8714" width="11.140625" style="956" bestFit="1" customWidth="1"/>
    <col min="8715" max="8953" width="9.140625" style="956"/>
    <col min="8954" max="8954" width="4" style="956" customWidth="1"/>
    <col min="8955" max="8955" width="30.7109375" style="956" customWidth="1"/>
    <col min="8956" max="8957" width="10" style="956" customWidth="1"/>
    <col min="8958" max="8958" width="9.85546875" style="956" customWidth="1"/>
    <col min="8959" max="8959" width="12.42578125" style="956" customWidth="1"/>
    <col min="8960" max="8965" width="12.7109375" style="956" customWidth="1"/>
    <col min="8966" max="8966" width="13" style="956" customWidth="1"/>
    <col min="8967" max="8968" width="12.7109375" style="956" customWidth="1"/>
    <col min="8969" max="8969" width="9.140625" style="956"/>
    <col min="8970" max="8970" width="11.140625" style="956" bestFit="1" customWidth="1"/>
    <col min="8971" max="9209" width="9.140625" style="956"/>
    <col min="9210" max="9210" width="4" style="956" customWidth="1"/>
    <col min="9211" max="9211" width="30.7109375" style="956" customWidth="1"/>
    <col min="9212" max="9213" width="10" style="956" customWidth="1"/>
    <col min="9214" max="9214" width="9.85546875" style="956" customWidth="1"/>
    <col min="9215" max="9215" width="12.42578125" style="956" customWidth="1"/>
    <col min="9216" max="9221" width="12.7109375" style="956" customWidth="1"/>
    <col min="9222" max="9222" width="13" style="956" customWidth="1"/>
    <col min="9223" max="9224" width="12.7109375" style="956" customWidth="1"/>
    <col min="9225" max="9225" width="9.140625" style="956"/>
    <col min="9226" max="9226" width="11.140625" style="956" bestFit="1" customWidth="1"/>
    <col min="9227" max="9465" width="9.140625" style="956"/>
    <col min="9466" max="9466" width="4" style="956" customWidth="1"/>
    <col min="9467" max="9467" width="30.7109375" style="956" customWidth="1"/>
    <col min="9468" max="9469" width="10" style="956" customWidth="1"/>
    <col min="9470" max="9470" width="9.85546875" style="956" customWidth="1"/>
    <col min="9471" max="9471" width="12.42578125" style="956" customWidth="1"/>
    <col min="9472" max="9477" width="12.7109375" style="956" customWidth="1"/>
    <col min="9478" max="9478" width="13" style="956" customWidth="1"/>
    <col min="9479" max="9480" width="12.7109375" style="956" customWidth="1"/>
    <col min="9481" max="9481" width="9.140625" style="956"/>
    <col min="9482" max="9482" width="11.140625" style="956" bestFit="1" customWidth="1"/>
    <col min="9483" max="9721" width="9.140625" style="956"/>
    <col min="9722" max="9722" width="4" style="956" customWidth="1"/>
    <col min="9723" max="9723" width="30.7109375" style="956" customWidth="1"/>
    <col min="9724" max="9725" width="10" style="956" customWidth="1"/>
    <col min="9726" max="9726" width="9.85546875" style="956" customWidth="1"/>
    <col min="9727" max="9727" width="12.42578125" style="956" customWidth="1"/>
    <col min="9728" max="9733" width="12.7109375" style="956" customWidth="1"/>
    <col min="9734" max="9734" width="13" style="956" customWidth="1"/>
    <col min="9735" max="9736" width="12.7109375" style="956" customWidth="1"/>
    <col min="9737" max="9737" width="9.140625" style="956"/>
    <col min="9738" max="9738" width="11.140625" style="956" bestFit="1" customWidth="1"/>
    <col min="9739" max="9977" width="9.140625" style="956"/>
    <col min="9978" max="9978" width="4" style="956" customWidth="1"/>
    <col min="9979" max="9979" width="30.7109375" style="956" customWidth="1"/>
    <col min="9980" max="9981" width="10" style="956" customWidth="1"/>
    <col min="9982" max="9982" width="9.85546875" style="956" customWidth="1"/>
    <col min="9983" max="9983" width="12.42578125" style="956" customWidth="1"/>
    <col min="9984" max="9989" width="12.7109375" style="956" customWidth="1"/>
    <col min="9990" max="9990" width="13" style="956" customWidth="1"/>
    <col min="9991" max="9992" width="12.7109375" style="956" customWidth="1"/>
    <col min="9993" max="9993" width="9.140625" style="956"/>
    <col min="9994" max="9994" width="11.140625" style="956" bestFit="1" customWidth="1"/>
    <col min="9995" max="10233" width="9.140625" style="956"/>
    <col min="10234" max="10234" width="4" style="956" customWidth="1"/>
    <col min="10235" max="10235" width="30.7109375" style="956" customWidth="1"/>
    <col min="10236" max="10237" width="10" style="956" customWidth="1"/>
    <col min="10238" max="10238" width="9.85546875" style="956" customWidth="1"/>
    <col min="10239" max="10239" width="12.42578125" style="956" customWidth="1"/>
    <col min="10240" max="10245" width="12.7109375" style="956" customWidth="1"/>
    <col min="10246" max="10246" width="13" style="956" customWidth="1"/>
    <col min="10247" max="10248" width="12.7109375" style="956" customWidth="1"/>
    <col min="10249" max="10249" width="9.140625" style="956"/>
    <col min="10250" max="10250" width="11.140625" style="956" bestFit="1" customWidth="1"/>
    <col min="10251" max="10489" width="9.140625" style="956"/>
    <col min="10490" max="10490" width="4" style="956" customWidth="1"/>
    <col min="10491" max="10491" width="30.7109375" style="956" customWidth="1"/>
    <col min="10492" max="10493" width="10" style="956" customWidth="1"/>
    <col min="10494" max="10494" width="9.85546875" style="956" customWidth="1"/>
    <col min="10495" max="10495" width="12.42578125" style="956" customWidth="1"/>
    <col min="10496" max="10501" width="12.7109375" style="956" customWidth="1"/>
    <col min="10502" max="10502" width="13" style="956" customWidth="1"/>
    <col min="10503" max="10504" width="12.7109375" style="956" customWidth="1"/>
    <col min="10505" max="10505" width="9.140625" style="956"/>
    <col min="10506" max="10506" width="11.140625" style="956" bestFit="1" customWidth="1"/>
    <col min="10507" max="10745" width="9.140625" style="956"/>
    <col min="10746" max="10746" width="4" style="956" customWidth="1"/>
    <col min="10747" max="10747" width="30.7109375" style="956" customWidth="1"/>
    <col min="10748" max="10749" width="10" style="956" customWidth="1"/>
    <col min="10750" max="10750" width="9.85546875" style="956" customWidth="1"/>
    <col min="10751" max="10751" width="12.42578125" style="956" customWidth="1"/>
    <col min="10752" max="10757" width="12.7109375" style="956" customWidth="1"/>
    <col min="10758" max="10758" width="13" style="956" customWidth="1"/>
    <col min="10759" max="10760" width="12.7109375" style="956" customWidth="1"/>
    <col min="10761" max="10761" width="9.140625" style="956"/>
    <col min="10762" max="10762" width="11.140625" style="956" bestFit="1" customWidth="1"/>
    <col min="10763" max="11001" width="9.140625" style="956"/>
    <col min="11002" max="11002" width="4" style="956" customWidth="1"/>
    <col min="11003" max="11003" width="30.7109375" style="956" customWidth="1"/>
    <col min="11004" max="11005" width="10" style="956" customWidth="1"/>
    <col min="11006" max="11006" width="9.85546875" style="956" customWidth="1"/>
    <col min="11007" max="11007" width="12.42578125" style="956" customWidth="1"/>
    <col min="11008" max="11013" width="12.7109375" style="956" customWidth="1"/>
    <col min="11014" max="11014" width="13" style="956" customWidth="1"/>
    <col min="11015" max="11016" width="12.7109375" style="956" customWidth="1"/>
    <col min="11017" max="11017" width="9.140625" style="956"/>
    <col min="11018" max="11018" width="11.140625" style="956" bestFit="1" customWidth="1"/>
    <col min="11019" max="11257" width="9.140625" style="956"/>
    <col min="11258" max="11258" width="4" style="956" customWidth="1"/>
    <col min="11259" max="11259" width="30.7109375" style="956" customWidth="1"/>
    <col min="11260" max="11261" width="10" style="956" customWidth="1"/>
    <col min="11262" max="11262" width="9.85546875" style="956" customWidth="1"/>
    <col min="11263" max="11263" width="12.42578125" style="956" customWidth="1"/>
    <col min="11264" max="11269" width="12.7109375" style="956" customWidth="1"/>
    <col min="11270" max="11270" width="13" style="956" customWidth="1"/>
    <col min="11271" max="11272" width="12.7109375" style="956" customWidth="1"/>
    <col min="11273" max="11273" width="9.140625" style="956"/>
    <col min="11274" max="11274" width="11.140625" style="956" bestFit="1" customWidth="1"/>
    <col min="11275" max="11513" width="9.140625" style="956"/>
    <col min="11514" max="11514" width="4" style="956" customWidth="1"/>
    <col min="11515" max="11515" width="30.7109375" style="956" customWidth="1"/>
    <col min="11516" max="11517" width="10" style="956" customWidth="1"/>
    <col min="11518" max="11518" width="9.85546875" style="956" customWidth="1"/>
    <col min="11519" max="11519" width="12.42578125" style="956" customWidth="1"/>
    <col min="11520" max="11525" width="12.7109375" style="956" customWidth="1"/>
    <col min="11526" max="11526" width="13" style="956" customWidth="1"/>
    <col min="11527" max="11528" width="12.7109375" style="956" customWidth="1"/>
    <col min="11529" max="11529" width="9.140625" style="956"/>
    <col min="11530" max="11530" width="11.140625" style="956" bestFit="1" customWidth="1"/>
    <col min="11531" max="11769" width="9.140625" style="956"/>
    <col min="11770" max="11770" width="4" style="956" customWidth="1"/>
    <col min="11771" max="11771" width="30.7109375" style="956" customWidth="1"/>
    <col min="11772" max="11773" width="10" style="956" customWidth="1"/>
    <col min="11774" max="11774" width="9.85546875" style="956" customWidth="1"/>
    <col min="11775" max="11775" width="12.42578125" style="956" customWidth="1"/>
    <col min="11776" max="11781" width="12.7109375" style="956" customWidth="1"/>
    <col min="11782" max="11782" width="13" style="956" customWidth="1"/>
    <col min="11783" max="11784" width="12.7109375" style="956" customWidth="1"/>
    <col min="11785" max="11785" width="9.140625" style="956"/>
    <col min="11786" max="11786" width="11.140625" style="956" bestFit="1" customWidth="1"/>
    <col min="11787" max="12025" width="9.140625" style="956"/>
    <col min="12026" max="12026" width="4" style="956" customWidth="1"/>
    <col min="12027" max="12027" width="30.7109375" style="956" customWidth="1"/>
    <col min="12028" max="12029" width="10" style="956" customWidth="1"/>
    <col min="12030" max="12030" width="9.85546875" style="956" customWidth="1"/>
    <col min="12031" max="12031" width="12.42578125" style="956" customWidth="1"/>
    <col min="12032" max="12037" width="12.7109375" style="956" customWidth="1"/>
    <col min="12038" max="12038" width="13" style="956" customWidth="1"/>
    <col min="12039" max="12040" width="12.7109375" style="956" customWidth="1"/>
    <col min="12041" max="12041" width="9.140625" style="956"/>
    <col min="12042" max="12042" width="11.140625" style="956" bestFit="1" customWidth="1"/>
    <col min="12043" max="12281" width="9.140625" style="956"/>
    <col min="12282" max="12282" width="4" style="956" customWidth="1"/>
    <col min="12283" max="12283" width="30.7109375" style="956" customWidth="1"/>
    <col min="12284" max="12285" width="10" style="956" customWidth="1"/>
    <col min="12286" max="12286" width="9.85546875" style="956" customWidth="1"/>
    <col min="12287" max="12287" width="12.42578125" style="956" customWidth="1"/>
    <col min="12288" max="12293" width="12.7109375" style="956" customWidth="1"/>
    <col min="12294" max="12294" width="13" style="956" customWidth="1"/>
    <col min="12295" max="12296" width="12.7109375" style="956" customWidth="1"/>
    <col min="12297" max="12297" width="9.140625" style="956"/>
    <col min="12298" max="12298" width="11.140625" style="956" bestFit="1" customWidth="1"/>
    <col min="12299" max="12537" width="9.140625" style="956"/>
    <col min="12538" max="12538" width="4" style="956" customWidth="1"/>
    <col min="12539" max="12539" width="30.7109375" style="956" customWidth="1"/>
    <col min="12540" max="12541" width="10" style="956" customWidth="1"/>
    <col min="12542" max="12542" width="9.85546875" style="956" customWidth="1"/>
    <col min="12543" max="12543" width="12.42578125" style="956" customWidth="1"/>
    <col min="12544" max="12549" width="12.7109375" style="956" customWidth="1"/>
    <col min="12550" max="12550" width="13" style="956" customWidth="1"/>
    <col min="12551" max="12552" width="12.7109375" style="956" customWidth="1"/>
    <col min="12553" max="12553" width="9.140625" style="956"/>
    <col min="12554" max="12554" width="11.140625" style="956" bestFit="1" customWidth="1"/>
    <col min="12555" max="12793" width="9.140625" style="956"/>
    <col min="12794" max="12794" width="4" style="956" customWidth="1"/>
    <col min="12795" max="12795" width="30.7109375" style="956" customWidth="1"/>
    <col min="12796" max="12797" width="10" style="956" customWidth="1"/>
    <col min="12798" max="12798" width="9.85546875" style="956" customWidth="1"/>
    <col min="12799" max="12799" width="12.42578125" style="956" customWidth="1"/>
    <col min="12800" max="12805" width="12.7109375" style="956" customWidth="1"/>
    <col min="12806" max="12806" width="13" style="956" customWidth="1"/>
    <col min="12807" max="12808" width="12.7109375" style="956" customWidth="1"/>
    <col min="12809" max="12809" width="9.140625" style="956"/>
    <col min="12810" max="12810" width="11.140625" style="956" bestFit="1" customWidth="1"/>
    <col min="12811" max="13049" width="9.140625" style="956"/>
    <col min="13050" max="13050" width="4" style="956" customWidth="1"/>
    <col min="13051" max="13051" width="30.7109375" style="956" customWidth="1"/>
    <col min="13052" max="13053" width="10" style="956" customWidth="1"/>
    <col min="13054" max="13054" width="9.85546875" style="956" customWidth="1"/>
    <col min="13055" max="13055" width="12.42578125" style="956" customWidth="1"/>
    <col min="13056" max="13061" width="12.7109375" style="956" customWidth="1"/>
    <col min="13062" max="13062" width="13" style="956" customWidth="1"/>
    <col min="13063" max="13064" width="12.7109375" style="956" customWidth="1"/>
    <col min="13065" max="13065" width="9.140625" style="956"/>
    <col min="13066" max="13066" width="11.140625" style="956" bestFit="1" customWidth="1"/>
    <col min="13067" max="13305" width="9.140625" style="956"/>
    <col min="13306" max="13306" width="4" style="956" customWidth="1"/>
    <col min="13307" max="13307" width="30.7109375" style="956" customWidth="1"/>
    <col min="13308" max="13309" width="10" style="956" customWidth="1"/>
    <col min="13310" max="13310" width="9.85546875" style="956" customWidth="1"/>
    <col min="13311" max="13311" width="12.42578125" style="956" customWidth="1"/>
    <col min="13312" max="13317" width="12.7109375" style="956" customWidth="1"/>
    <col min="13318" max="13318" width="13" style="956" customWidth="1"/>
    <col min="13319" max="13320" width="12.7109375" style="956" customWidth="1"/>
    <col min="13321" max="13321" width="9.140625" style="956"/>
    <col min="13322" max="13322" width="11.140625" style="956" bestFit="1" customWidth="1"/>
    <col min="13323" max="13561" width="9.140625" style="956"/>
    <col min="13562" max="13562" width="4" style="956" customWidth="1"/>
    <col min="13563" max="13563" width="30.7109375" style="956" customWidth="1"/>
    <col min="13564" max="13565" width="10" style="956" customWidth="1"/>
    <col min="13566" max="13566" width="9.85546875" style="956" customWidth="1"/>
    <col min="13567" max="13567" width="12.42578125" style="956" customWidth="1"/>
    <col min="13568" max="13573" width="12.7109375" style="956" customWidth="1"/>
    <col min="13574" max="13574" width="13" style="956" customWidth="1"/>
    <col min="13575" max="13576" width="12.7109375" style="956" customWidth="1"/>
    <col min="13577" max="13577" width="9.140625" style="956"/>
    <col min="13578" max="13578" width="11.140625" style="956" bestFit="1" customWidth="1"/>
    <col min="13579" max="13817" width="9.140625" style="956"/>
    <col min="13818" max="13818" width="4" style="956" customWidth="1"/>
    <col min="13819" max="13819" width="30.7109375" style="956" customWidth="1"/>
    <col min="13820" max="13821" width="10" style="956" customWidth="1"/>
    <col min="13822" max="13822" width="9.85546875" style="956" customWidth="1"/>
    <col min="13823" max="13823" width="12.42578125" style="956" customWidth="1"/>
    <col min="13824" max="13829" width="12.7109375" style="956" customWidth="1"/>
    <col min="13830" max="13830" width="13" style="956" customWidth="1"/>
    <col min="13831" max="13832" width="12.7109375" style="956" customWidth="1"/>
    <col min="13833" max="13833" width="9.140625" style="956"/>
    <col min="13834" max="13834" width="11.140625" style="956" bestFit="1" customWidth="1"/>
    <col min="13835" max="14073" width="9.140625" style="956"/>
    <col min="14074" max="14074" width="4" style="956" customWidth="1"/>
    <col min="14075" max="14075" width="30.7109375" style="956" customWidth="1"/>
    <col min="14076" max="14077" width="10" style="956" customWidth="1"/>
    <col min="14078" max="14078" width="9.85546875" style="956" customWidth="1"/>
    <col min="14079" max="14079" width="12.42578125" style="956" customWidth="1"/>
    <col min="14080" max="14085" width="12.7109375" style="956" customWidth="1"/>
    <col min="14086" max="14086" width="13" style="956" customWidth="1"/>
    <col min="14087" max="14088" width="12.7109375" style="956" customWidth="1"/>
    <col min="14089" max="14089" width="9.140625" style="956"/>
    <col min="14090" max="14090" width="11.140625" style="956" bestFit="1" customWidth="1"/>
    <col min="14091" max="14329" width="9.140625" style="956"/>
    <col min="14330" max="14330" width="4" style="956" customWidth="1"/>
    <col min="14331" max="14331" width="30.7109375" style="956" customWidth="1"/>
    <col min="14332" max="14333" width="10" style="956" customWidth="1"/>
    <col min="14334" max="14334" width="9.85546875" style="956" customWidth="1"/>
    <col min="14335" max="14335" width="12.42578125" style="956" customWidth="1"/>
    <col min="14336" max="14341" width="12.7109375" style="956" customWidth="1"/>
    <col min="14342" max="14342" width="13" style="956" customWidth="1"/>
    <col min="14343" max="14344" width="12.7109375" style="956" customWidth="1"/>
    <col min="14345" max="14345" width="9.140625" style="956"/>
    <col min="14346" max="14346" width="11.140625" style="956" bestFit="1" customWidth="1"/>
    <col min="14347" max="14585" width="9.140625" style="956"/>
    <col min="14586" max="14586" width="4" style="956" customWidth="1"/>
    <col min="14587" max="14587" width="30.7109375" style="956" customWidth="1"/>
    <col min="14588" max="14589" width="10" style="956" customWidth="1"/>
    <col min="14590" max="14590" width="9.85546875" style="956" customWidth="1"/>
    <col min="14591" max="14591" width="12.42578125" style="956" customWidth="1"/>
    <col min="14592" max="14597" width="12.7109375" style="956" customWidth="1"/>
    <col min="14598" max="14598" width="13" style="956" customWidth="1"/>
    <col min="14599" max="14600" width="12.7109375" style="956" customWidth="1"/>
    <col min="14601" max="14601" width="9.140625" style="956"/>
    <col min="14602" max="14602" width="11.140625" style="956" bestFit="1" customWidth="1"/>
    <col min="14603" max="14841" width="9.140625" style="956"/>
    <col min="14842" max="14842" width="4" style="956" customWidth="1"/>
    <col min="14843" max="14843" width="30.7109375" style="956" customWidth="1"/>
    <col min="14844" max="14845" width="10" style="956" customWidth="1"/>
    <col min="14846" max="14846" width="9.85546875" style="956" customWidth="1"/>
    <col min="14847" max="14847" width="12.42578125" style="956" customWidth="1"/>
    <col min="14848" max="14853" width="12.7109375" style="956" customWidth="1"/>
    <col min="14854" max="14854" width="13" style="956" customWidth="1"/>
    <col min="14855" max="14856" width="12.7109375" style="956" customWidth="1"/>
    <col min="14857" max="14857" width="9.140625" style="956"/>
    <col min="14858" max="14858" width="11.140625" style="956" bestFit="1" customWidth="1"/>
    <col min="14859" max="15097" width="9.140625" style="956"/>
    <col min="15098" max="15098" width="4" style="956" customWidth="1"/>
    <col min="15099" max="15099" width="30.7109375" style="956" customWidth="1"/>
    <col min="15100" max="15101" width="10" style="956" customWidth="1"/>
    <col min="15102" max="15102" width="9.85546875" style="956" customWidth="1"/>
    <col min="15103" max="15103" width="12.42578125" style="956" customWidth="1"/>
    <col min="15104" max="15109" width="12.7109375" style="956" customWidth="1"/>
    <col min="15110" max="15110" width="13" style="956" customWidth="1"/>
    <col min="15111" max="15112" width="12.7109375" style="956" customWidth="1"/>
    <col min="15113" max="15113" width="9.140625" style="956"/>
    <col min="15114" max="15114" width="11.140625" style="956" bestFit="1" customWidth="1"/>
    <col min="15115" max="15353" width="9.140625" style="956"/>
    <col min="15354" max="15354" width="4" style="956" customWidth="1"/>
    <col min="15355" max="15355" width="30.7109375" style="956" customWidth="1"/>
    <col min="15356" max="15357" width="10" style="956" customWidth="1"/>
    <col min="15358" max="15358" width="9.85546875" style="956" customWidth="1"/>
    <col min="15359" max="15359" width="12.42578125" style="956" customWidth="1"/>
    <col min="15360" max="15365" width="12.7109375" style="956" customWidth="1"/>
    <col min="15366" max="15366" width="13" style="956" customWidth="1"/>
    <col min="15367" max="15368" width="12.7109375" style="956" customWidth="1"/>
    <col min="15369" max="15369" width="9.140625" style="956"/>
    <col min="15370" max="15370" width="11.140625" style="956" bestFit="1" customWidth="1"/>
    <col min="15371" max="15609" width="9.140625" style="956"/>
    <col min="15610" max="15610" width="4" style="956" customWidth="1"/>
    <col min="15611" max="15611" width="30.7109375" style="956" customWidth="1"/>
    <col min="15612" max="15613" width="10" style="956" customWidth="1"/>
    <col min="15614" max="15614" width="9.85546875" style="956" customWidth="1"/>
    <col min="15615" max="15615" width="12.42578125" style="956" customWidth="1"/>
    <col min="15616" max="15621" width="12.7109375" style="956" customWidth="1"/>
    <col min="15622" max="15622" width="13" style="956" customWidth="1"/>
    <col min="15623" max="15624" width="12.7109375" style="956" customWidth="1"/>
    <col min="15625" max="15625" width="9.140625" style="956"/>
    <col min="15626" max="15626" width="11.140625" style="956" bestFit="1" customWidth="1"/>
    <col min="15627" max="15865" width="9.140625" style="956"/>
    <col min="15866" max="15866" width="4" style="956" customWidth="1"/>
    <col min="15867" max="15867" width="30.7109375" style="956" customWidth="1"/>
    <col min="15868" max="15869" width="10" style="956" customWidth="1"/>
    <col min="15870" max="15870" width="9.85546875" style="956" customWidth="1"/>
    <col min="15871" max="15871" width="12.42578125" style="956" customWidth="1"/>
    <col min="15872" max="15877" width="12.7109375" style="956" customWidth="1"/>
    <col min="15878" max="15878" width="13" style="956" customWidth="1"/>
    <col min="15879" max="15880" width="12.7109375" style="956" customWidth="1"/>
    <col min="15881" max="15881" width="9.140625" style="956"/>
    <col min="15882" max="15882" width="11.140625" style="956" bestFit="1" customWidth="1"/>
    <col min="15883" max="16121" width="9.140625" style="956"/>
    <col min="16122" max="16122" width="4" style="956" customWidth="1"/>
    <col min="16123" max="16123" width="30.7109375" style="956" customWidth="1"/>
    <col min="16124" max="16125" width="10" style="956" customWidth="1"/>
    <col min="16126" max="16126" width="9.85546875" style="956" customWidth="1"/>
    <col min="16127" max="16127" width="12.42578125" style="956" customWidth="1"/>
    <col min="16128" max="16133" width="12.7109375" style="956" customWidth="1"/>
    <col min="16134" max="16134" width="13" style="956" customWidth="1"/>
    <col min="16135" max="16136" width="12.7109375" style="956" customWidth="1"/>
    <col min="16137" max="16137" width="9.140625" style="956"/>
    <col min="16138" max="16138" width="11.140625" style="956" bestFit="1" customWidth="1"/>
    <col min="16139" max="16384" width="9.140625" style="956"/>
  </cols>
  <sheetData>
    <row r="1" spans="1:14" s="954" customFormat="1" ht="13.5" thickBot="1">
      <c r="A1" s="954" t="s">
        <v>15</v>
      </c>
      <c r="B1" s="955"/>
      <c r="F1" s="1394"/>
    </row>
    <row r="2" spans="1:14" ht="23.25" thickBot="1">
      <c r="A2" s="1724" t="s">
        <v>16</v>
      </c>
      <c r="B2" s="1725"/>
      <c r="C2" s="1725"/>
      <c r="D2" s="1725"/>
      <c r="E2" s="1725"/>
      <c r="F2" s="1725"/>
      <c r="G2" s="1725"/>
      <c r="H2" s="1725"/>
      <c r="I2" s="1725"/>
      <c r="J2" s="1725"/>
      <c r="K2" s="1725"/>
      <c r="L2" s="1725"/>
      <c r="M2" s="1725"/>
      <c r="N2" s="1768"/>
    </row>
    <row r="3" spans="1:14" ht="16.5" thickBot="1">
      <c r="A3" s="1726" t="s">
        <v>17</v>
      </c>
      <c r="B3" s="1727"/>
      <c r="C3" s="1727"/>
      <c r="D3" s="1727"/>
      <c r="E3" s="1727"/>
      <c r="F3" s="1727"/>
      <c r="G3" s="1727"/>
      <c r="H3" s="1727"/>
      <c r="I3" s="1727"/>
      <c r="J3" s="1727"/>
      <c r="K3" s="1727"/>
      <c r="L3" s="1727"/>
      <c r="M3" s="1727"/>
      <c r="N3" s="1769"/>
    </row>
    <row r="4" spans="1:14" ht="25.5">
      <c r="A4" s="957" t="s">
        <v>18</v>
      </c>
      <c r="B4" s="958"/>
      <c r="C4" s="959" t="s">
        <v>19</v>
      </c>
      <c r="D4" s="959"/>
      <c r="E4" s="960"/>
      <c r="F4" s="1770"/>
      <c r="G4" s="1779"/>
      <c r="H4" s="1780"/>
      <c r="I4" s="1495" t="s">
        <v>1890</v>
      </c>
      <c r="J4" s="1496">
        <f>C19-J34</f>
        <v>99608.799999999988</v>
      </c>
      <c r="K4" s="1395" t="s">
        <v>24</v>
      </c>
      <c r="L4" s="1396">
        <v>42620</v>
      </c>
      <c r="M4" s="963"/>
      <c r="N4" s="963"/>
    </row>
    <row r="5" spans="1:14" ht="26.25" thickBot="1">
      <c r="A5" s="964" t="s">
        <v>26</v>
      </c>
      <c r="B5" s="965"/>
      <c r="C5" s="966" t="s">
        <v>27</v>
      </c>
      <c r="D5" s="966"/>
      <c r="E5" s="967"/>
      <c r="F5" s="1771"/>
      <c r="G5" s="1781"/>
      <c r="H5" s="1782"/>
      <c r="I5" s="968" t="s">
        <v>28</v>
      </c>
      <c r="J5" s="15"/>
      <c r="K5" s="969" t="s">
        <v>30</v>
      </c>
      <c r="L5" s="970"/>
      <c r="M5" s="970" t="s">
        <v>18</v>
      </c>
      <c r="N5" s="970" t="s">
        <v>31</v>
      </c>
    </row>
    <row r="6" spans="1:14" ht="13.5" thickBot="1">
      <c r="A6" s="971"/>
      <c r="B6" s="972"/>
      <c r="E6" s="974"/>
      <c r="F6" s="263"/>
      <c r="G6" s="975"/>
      <c r="H6" s="974"/>
      <c r="I6" s="976"/>
      <c r="J6" s="974"/>
      <c r="K6" s="974"/>
      <c r="L6" s="974"/>
      <c r="M6" s="974"/>
      <c r="N6" s="974"/>
    </row>
    <row r="7" spans="1:14" ht="31.5" customHeight="1" thickBot="1">
      <c r="A7" s="1730" t="s">
        <v>32</v>
      </c>
      <c r="B7" s="1733" t="s">
        <v>33</v>
      </c>
      <c r="C7" s="1733" t="s">
        <v>34</v>
      </c>
      <c r="D7" s="1384"/>
      <c r="E7" s="1783" t="s">
        <v>35</v>
      </c>
      <c r="F7" s="1786" t="s">
        <v>1311</v>
      </c>
      <c r="G7" s="1744" t="s">
        <v>1891</v>
      </c>
      <c r="H7" s="1745"/>
      <c r="I7" s="1775" t="s">
        <v>1892</v>
      </c>
      <c r="J7" s="1745"/>
      <c r="K7" s="1761" t="s">
        <v>180</v>
      </c>
      <c r="L7" s="1762"/>
      <c r="M7" s="1761"/>
      <c r="N7" s="1719"/>
    </row>
    <row r="8" spans="1:14" ht="19.5" customHeight="1">
      <c r="A8" s="1731"/>
      <c r="B8" s="1734"/>
      <c r="C8" s="1736"/>
      <c r="D8" s="1385"/>
      <c r="E8" s="1784"/>
      <c r="F8" s="1787"/>
      <c r="G8" s="1722" t="s">
        <v>1893</v>
      </c>
      <c r="H8" s="1723"/>
      <c r="I8" s="1723" t="s">
        <v>1894</v>
      </c>
      <c r="J8" s="1723"/>
      <c r="K8" s="1723" t="s">
        <v>1895</v>
      </c>
      <c r="L8" s="1776"/>
      <c r="M8" s="1723"/>
      <c r="N8" s="1721"/>
    </row>
    <row r="9" spans="1:14" ht="21.75" customHeight="1" thickBot="1">
      <c r="A9" s="1731"/>
      <c r="B9" s="1734"/>
      <c r="C9" s="1736"/>
      <c r="D9" s="1497" t="s">
        <v>185</v>
      </c>
      <c r="E9" s="1784"/>
      <c r="F9" s="1787"/>
      <c r="G9" s="1722"/>
      <c r="H9" s="1723"/>
      <c r="I9" s="1723"/>
      <c r="J9" s="1723"/>
      <c r="K9" s="1723"/>
      <c r="L9" s="1776"/>
      <c r="M9" s="1723"/>
      <c r="N9" s="1721"/>
    </row>
    <row r="10" spans="1:14" ht="39" customHeight="1" thickBot="1">
      <c r="A10" s="1731"/>
      <c r="B10" s="1734"/>
      <c r="C10" s="1736"/>
      <c r="D10" s="1385"/>
      <c r="E10" s="1784"/>
      <c r="F10" s="1787"/>
      <c r="G10" s="1777" t="s">
        <v>1896</v>
      </c>
      <c r="H10" s="1778"/>
      <c r="I10" s="1765" t="s">
        <v>1897</v>
      </c>
      <c r="J10" s="1745"/>
      <c r="K10" s="1766" t="s">
        <v>1898</v>
      </c>
      <c r="L10" s="1767"/>
      <c r="M10" s="1766"/>
      <c r="N10" s="1747"/>
    </row>
    <row r="11" spans="1:14" ht="13.5" thickBot="1">
      <c r="A11" s="1731"/>
      <c r="B11" s="1734"/>
      <c r="C11" s="1736"/>
      <c r="D11" s="1385"/>
      <c r="E11" s="1784"/>
      <c r="F11" s="1787"/>
      <c r="G11" s="1715" t="s">
        <v>46</v>
      </c>
      <c r="H11" s="1715"/>
      <c r="I11" s="1716" t="s">
        <v>46</v>
      </c>
      <c r="J11" s="1715"/>
      <c r="K11" s="1716" t="s">
        <v>46</v>
      </c>
      <c r="L11" s="1715"/>
      <c r="M11" s="1383"/>
      <c r="N11" s="1398"/>
    </row>
    <row r="12" spans="1:14" ht="13.5" thickBot="1">
      <c r="A12" s="1731"/>
      <c r="B12" s="1735"/>
      <c r="C12" s="1737"/>
      <c r="D12" s="1498"/>
      <c r="E12" s="1785"/>
      <c r="F12" s="1788"/>
      <c r="G12" s="1312" t="s">
        <v>47</v>
      </c>
      <c r="H12" s="1311" t="s">
        <v>48</v>
      </c>
      <c r="I12" s="1399" t="s">
        <v>47</v>
      </c>
      <c r="J12" s="1400" t="s">
        <v>48</v>
      </c>
      <c r="K12" s="1401" t="s">
        <v>47</v>
      </c>
      <c r="L12" s="986" t="s">
        <v>48</v>
      </c>
      <c r="M12" s="1402"/>
      <c r="N12" s="1403"/>
    </row>
    <row r="13" spans="1:14" ht="16.5">
      <c r="A13" s="1499">
        <v>1</v>
      </c>
      <c r="B13" s="1500" t="s">
        <v>1899</v>
      </c>
      <c r="C13" s="1501">
        <v>2052</v>
      </c>
      <c r="D13" s="1502" t="s">
        <v>1900</v>
      </c>
      <c r="E13" s="1503" t="s">
        <v>134</v>
      </c>
      <c r="F13" s="1501">
        <v>88</v>
      </c>
      <c r="G13" s="1410">
        <v>1142</v>
      </c>
      <c r="H13" s="1410">
        <f>G13*0.9</f>
        <v>1027.8</v>
      </c>
      <c r="I13" s="1504">
        <v>884</v>
      </c>
      <c r="J13" s="1410">
        <f>I13</f>
        <v>884</v>
      </c>
      <c r="K13" s="1505">
        <v>1105</v>
      </c>
      <c r="L13" s="1418">
        <f>K13</f>
        <v>1105</v>
      </c>
      <c r="M13" s="1335" t="s">
        <v>1901</v>
      </c>
      <c r="N13" s="1335" t="s">
        <v>136</v>
      </c>
    </row>
    <row r="14" spans="1:14" ht="16.5">
      <c r="A14" s="1506">
        <v>2</v>
      </c>
      <c r="B14" s="1500" t="s">
        <v>1902</v>
      </c>
      <c r="C14" s="1336">
        <v>1086.8</v>
      </c>
      <c r="D14" s="1502" t="s">
        <v>1900</v>
      </c>
      <c r="E14" s="1315" t="s">
        <v>134</v>
      </c>
      <c r="F14" s="1336">
        <v>1</v>
      </c>
      <c r="G14" s="1415">
        <v>802</v>
      </c>
      <c r="H14" s="1410">
        <f t="shared" ref="H14:H16" si="0">G14*0.9</f>
        <v>721.80000000000007</v>
      </c>
      <c r="I14" s="1429">
        <v>620</v>
      </c>
      <c r="J14" s="1418">
        <f>I14</f>
        <v>620</v>
      </c>
      <c r="K14" s="1505">
        <v>775</v>
      </c>
      <c r="L14" s="1418">
        <f t="shared" ref="L14:L16" si="1">K14</f>
        <v>775</v>
      </c>
      <c r="M14" s="1335" t="s">
        <v>1901</v>
      </c>
      <c r="N14" s="1335" t="s">
        <v>147</v>
      </c>
    </row>
    <row r="15" spans="1:14" ht="16.5">
      <c r="A15" s="1506">
        <v>3</v>
      </c>
      <c r="B15" s="1500" t="s">
        <v>1903</v>
      </c>
      <c r="C15" s="1336">
        <v>702</v>
      </c>
      <c r="D15" s="1507" t="s">
        <v>1904</v>
      </c>
      <c r="E15" s="1315" t="s">
        <v>134</v>
      </c>
      <c r="F15" s="1336">
        <v>6</v>
      </c>
      <c r="G15" s="1415">
        <v>390</v>
      </c>
      <c r="H15" s="1410">
        <f t="shared" si="0"/>
        <v>351</v>
      </c>
      <c r="I15" s="1429">
        <v>309</v>
      </c>
      <c r="J15" s="1418">
        <f t="shared" ref="J15:J16" si="2">I15</f>
        <v>309</v>
      </c>
      <c r="K15" s="1505">
        <v>380</v>
      </c>
      <c r="L15" s="1418">
        <f t="shared" si="1"/>
        <v>380</v>
      </c>
      <c r="M15" s="1335" t="s">
        <v>1901</v>
      </c>
      <c r="N15" s="1335" t="s">
        <v>150</v>
      </c>
    </row>
    <row r="16" spans="1:14" ht="16.5">
      <c r="A16" s="1506">
        <v>4</v>
      </c>
      <c r="B16" s="1500" t="s">
        <v>1905</v>
      </c>
      <c r="C16" s="1508">
        <v>127</v>
      </c>
      <c r="D16" s="1335"/>
      <c r="E16" s="1315" t="s">
        <v>134</v>
      </c>
      <c r="F16" s="1336">
        <v>24</v>
      </c>
      <c r="G16" s="1415">
        <v>162</v>
      </c>
      <c r="H16" s="1410">
        <f t="shared" si="0"/>
        <v>145.80000000000001</v>
      </c>
      <c r="I16" s="1429">
        <v>127</v>
      </c>
      <c r="J16" s="1418">
        <f t="shared" si="2"/>
        <v>127</v>
      </c>
      <c r="K16" s="1505">
        <v>165</v>
      </c>
      <c r="L16" s="1418">
        <f t="shared" si="1"/>
        <v>165</v>
      </c>
      <c r="M16" s="1335" t="s">
        <v>1901</v>
      </c>
      <c r="N16" s="1335" t="s">
        <v>152</v>
      </c>
    </row>
    <row r="17" spans="1:14" ht="16.5">
      <c r="A17" s="1506"/>
      <c r="B17" s="1509"/>
      <c r="C17" s="981"/>
      <c r="D17" s="981"/>
      <c r="E17" s="1315"/>
      <c r="F17" s="1318"/>
      <c r="G17" s="1415"/>
      <c r="H17" s="1418"/>
      <c r="I17" s="1429"/>
      <c r="J17" s="1418"/>
      <c r="K17" s="1505"/>
      <c r="L17" s="1510"/>
      <c r="M17" s="1315"/>
      <c r="N17" s="1315"/>
    </row>
    <row r="18" spans="1:14" ht="13.5" thickBot="1">
      <c r="A18" s="1034"/>
      <c r="B18" s="1511"/>
      <c r="C18" s="1512"/>
      <c r="D18" s="1512"/>
      <c r="E18" s="1513"/>
      <c r="F18" s="1514"/>
      <c r="G18" s="1515"/>
      <c r="H18" s="1516"/>
      <c r="I18" s="1517"/>
      <c r="J18" s="1518"/>
      <c r="K18" s="1039"/>
      <c r="L18" s="1040"/>
      <c r="M18" s="1039"/>
      <c r="N18" s="1040"/>
    </row>
    <row r="19" spans="1:14" s="954" customFormat="1" ht="13.5" thickBot="1">
      <c r="A19" s="1041" t="s">
        <v>58</v>
      </c>
      <c r="B19" s="1042"/>
      <c r="C19" s="95">
        <f t="shared" ref="C19" si="3">SUMPRODUCT(C13:C18, $F$13:$F$18)</f>
        <v>188922.8</v>
      </c>
      <c r="D19" s="1045"/>
      <c r="E19" s="1045"/>
      <c r="F19" s="314">
        <f>SUM(F13:F18)</f>
        <v>119</v>
      </c>
      <c r="G19" s="95">
        <f t="shared" ref="G19:L19" si="4">SUMPRODUCT(G13:G18, $F$13:$F$18)</f>
        <v>107526</v>
      </c>
      <c r="H19" s="95">
        <f t="shared" si="4"/>
        <v>96773.4</v>
      </c>
      <c r="I19" s="95">
        <f t="shared" si="4"/>
        <v>83314</v>
      </c>
      <c r="J19" s="95">
        <f t="shared" si="4"/>
        <v>83314</v>
      </c>
      <c r="K19" s="95">
        <f t="shared" si="4"/>
        <v>104255</v>
      </c>
      <c r="L19" s="95">
        <f t="shared" si="4"/>
        <v>104255</v>
      </c>
      <c r="M19" s="95"/>
      <c r="N19" s="96"/>
    </row>
    <row r="20" spans="1:14">
      <c r="A20" s="1704" t="s">
        <v>59</v>
      </c>
      <c r="B20" s="1705"/>
      <c r="C20" s="1048"/>
      <c r="D20" s="1048"/>
      <c r="E20" s="1048"/>
      <c r="F20" s="315"/>
      <c r="G20" s="99"/>
      <c r="H20" s="100"/>
      <c r="I20" s="101"/>
      <c r="J20" s="99"/>
      <c r="K20" s="99"/>
      <c r="L20" s="100"/>
      <c r="M20" s="99"/>
      <c r="N20" s="99"/>
    </row>
    <row r="21" spans="1:14">
      <c r="A21" s="1378" t="s">
        <v>60</v>
      </c>
      <c r="B21" s="1379"/>
      <c r="C21" s="1048"/>
      <c r="D21" s="1048"/>
      <c r="E21" s="1048"/>
      <c r="F21" s="315"/>
      <c r="G21" s="104"/>
      <c r="H21" s="105" t="s">
        <v>61</v>
      </c>
      <c r="I21" s="106"/>
      <c r="J21" s="104" t="s">
        <v>61</v>
      </c>
      <c r="K21" s="104"/>
      <c r="L21" s="105" t="s">
        <v>61</v>
      </c>
      <c r="M21" s="104"/>
      <c r="N21" s="104"/>
    </row>
    <row r="22" spans="1:14">
      <c r="A22" s="1706" t="s">
        <v>62</v>
      </c>
      <c r="B22" s="1707"/>
      <c r="C22" s="1048"/>
      <c r="D22" s="1048"/>
      <c r="E22" s="1048"/>
      <c r="F22" s="315"/>
      <c r="G22" s="104"/>
      <c r="H22" s="105"/>
      <c r="I22" s="106">
        <v>6000</v>
      </c>
      <c r="J22" s="1519">
        <v>6000</v>
      </c>
      <c r="K22" s="104"/>
      <c r="L22" s="105"/>
      <c r="M22" s="104"/>
      <c r="N22" s="104"/>
    </row>
    <row r="23" spans="1:14" ht="12.95" customHeight="1">
      <c r="A23" s="1053" t="s">
        <v>1795</v>
      </c>
      <c r="B23" s="1054"/>
      <c r="C23" s="1054"/>
      <c r="D23" s="1054"/>
      <c r="E23" s="1054"/>
      <c r="F23" s="1433"/>
      <c r="G23" s="1057">
        <v>0.125</v>
      </c>
      <c r="H23" s="1057">
        <v>0.125</v>
      </c>
      <c r="I23" s="1057">
        <v>0.125</v>
      </c>
      <c r="J23" s="1057">
        <v>0.125</v>
      </c>
      <c r="K23" s="1057">
        <v>0.125</v>
      </c>
      <c r="L23" s="1057">
        <v>0.125</v>
      </c>
      <c r="M23" s="1057"/>
      <c r="N23" s="1057"/>
    </row>
    <row r="24" spans="1:14" ht="12.95" customHeight="1">
      <c r="A24" s="1053"/>
      <c r="B24" s="1054" t="s">
        <v>64</v>
      </c>
      <c r="C24" s="1058"/>
      <c r="D24" s="1058"/>
      <c r="E24" s="1058"/>
      <c r="F24" s="1434"/>
      <c r="G24" s="113">
        <f>(G19+G20+G21+G22)*G23</f>
        <v>13440.75</v>
      </c>
      <c r="H24" s="114">
        <f>(H19+H20+H22)*H23</f>
        <v>12096.674999999999</v>
      </c>
      <c r="I24" s="115">
        <f t="shared" ref="I24" si="5">(I19+I20+I21+I22)*I23</f>
        <v>11164.25</v>
      </c>
      <c r="J24" s="113">
        <f t="shared" ref="J24" si="6">(J19+J20+J22)*J23</f>
        <v>11164.25</v>
      </c>
      <c r="K24" s="113">
        <f>(K19+K20+K21+K22)*K23</f>
        <v>13031.875</v>
      </c>
      <c r="L24" s="114">
        <f>(L19+L20+L22)*L23</f>
        <v>13031.875</v>
      </c>
      <c r="M24" s="113"/>
      <c r="N24" s="113"/>
    </row>
    <row r="25" spans="1:14">
      <c r="A25" s="1706" t="s">
        <v>65</v>
      </c>
      <c r="B25" s="1707"/>
      <c r="C25" s="1058"/>
      <c r="D25" s="1058"/>
      <c r="E25" s="1060"/>
      <c r="F25" s="1434"/>
      <c r="G25" s="118">
        <v>5.5E-2</v>
      </c>
      <c r="H25" s="118">
        <v>5.5E-2</v>
      </c>
      <c r="I25" s="118">
        <v>5.5E-2</v>
      </c>
      <c r="J25" s="118">
        <v>5.5E-2</v>
      </c>
      <c r="K25" s="118">
        <v>5.5E-2</v>
      </c>
      <c r="L25" s="118">
        <v>5.5E-2</v>
      </c>
      <c r="M25" s="118"/>
      <c r="N25" s="118"/>
    </row>
    <row r="26" spans="1:14" ht="12.95" customHeight="1">
      <c r="A26" s="1378"/>
      <c r="B26" s="1379" t="s">
        <v>66</v>
      </c>
      <c r="C26" s="1058"/>
      <c r="D26" s="1058"/>
      <c r="E26" s="1060"/>
      <c r="F26" s="1434"/>
      <c r="G26" s="113">
        <f>(G24+G20+G21+G22+G19)*G25</f>
        <v>6653.1712500000003</v>
      </c>
      <c r="H26" s="114">
        <f>(H24+H20+H22+H19)*H25</f>
        <v>5987.8541249999998</v>
      </c>
      <c r="I26" s="115">
        <f t="shared" ref="I26" si="7">(I24+I20+I21+I22+I19)*I25</f>
        <v>5526.30375</v>
      </c>
      <c r="J26" s="113">
        <f t="shared" ref="J26" si="8">(J24+J20+J22+J19)*J25</f>
        <v>5526.30375</v>
      </c>
      <c r="K26" s="113">
        <f>(K24+K20+K21+K22+K19)*K25</f>
        <v>6450.7781249999998</v>
      </c>
      <c r="L26" s="114">
        <f>(L24+L20+L22+L19)*L25</f>
        <v>6450.7781249999998</v>
      </c>
      <c r="M26" s="113"/>
      <c r="N26" s="113"/>
    </row>
    <row r="27" spans="1:14" ht="12.95" customHeight="1">
      <c r="A27" s="1378" t="s">
        <v>67</v>
      </c>
      <c r="B27" s="1379"/>
      <c r="C27" s="1058"/>
      <c r="D27" s="1058"/>
      <c r="E27" s="1060"/>
      <c r="F27" s="1434"/>
      <c r="G27" s="118"/>
      <c r="H27" s="118"/>
      <c r="I27" s="118"/>
      <c r="J27" s="118"/>
      <c r="K27" s="118"/>
      <c r="L27" s="118"/>
      <c r="M27" s="118"/>
      <c r="N27" s="118"/>
    </row>
    <row r="28" spans="1:14" ht="12.95" customHeight="1">
      <c r="A28" s="1378"/>
      <c r="B28" s="1379" t="s">
        <v>68</v>
      </c>
      <c r="C28" s="1058"/>
      <c r="D28" s="1058"/>
      <c r="E28" s="1060"/>
      <c r="F28" s="1434"/>
      <c r="G28" s="113">
        <f>(G24+G20+G21+G22+G19)*G27</f>
        <v>0</v>
      </c>
      <c r="H28" s="114">
        <f>(H24+H20+H22+H19)*H27</f>
        <v>0</v>
      </c>
      <c r="I28" s="115">
        <f t="shared" ref="I28" si="9">(I24+I20+I21+I22+I19)*I27</f>
        <v>0</v>
      </c>
      <c r="J28" s="113">
        <f t="shared" ref="J28" si="10">(J24+J20+J22+J19)*J27</f>
        <v>0</v>
      </c>
      <c r="K28" s="113">
        <f>(K24+K20+K21+K22+K19)*K27</f>
        <v>0</v>
      </c>
      <c r="L28" s="114">
        <f>(L24+L20+L22+L19)*L27</f>
        <v>0</v>
      </c>
      <c r="M28" s="113"/>
      <c r="N28" s="113"/>
    </row>
    <row r="29" spans="1:14" ht="12.95" customHeight="1">
      <c r="A29" s="1706" t="s">
        <v>69</v>
      </c>
      <c r="B29" s="1707"/>
      <c r="C29" s="1058"/>
      <c r="D29" s="1058"/>
      <c r="E29" s="1062"/>
      <c r="F29" s="1434"/>
      <c r="G29" s="118"/>
      <c r="H29" s="121"/>
      <c r="I29" s="119"/>
      <c r="J29" s="118"/>
      <c r="K29" s="118"/>
      <c r="L29" s="121"/>
      <c r="M29" s="118"/>
      <c r="N29" s="118"/>
    </row>
    <row r="30" spans="1:14" ht="12.95" customHeight="1">
      <c r="A30" s="1380"/>
      <c r="B30" s="1381" t="s">
        <v>70</v>
      </c>
      <c r="C30" s="1065"/>
      <c r="D30" s="1065"/>
      <c r="E30" s="1067"/>
      <c r="F30" s="1435"/>
      <c r="G30" s="113">
        <f t="shared" ref="G30:L30" si="11">G19*G29</f>
        <v>0</v>
      </c>
      <c r="H30" s="114">
        <f t="shared" si="11"/>
        <v>0</v>
      </c>
      <c r="I30" s="115">
        <f t="shared" si="11"/>
        <v>0</v>
      </c>
      <c r="J30" s="113">
        <f t="shared" si="11"/>
        <v>0</v>
      </c>
      <c r="K30" s="113">
        <f t="shared" si="11"/>
        <v>0</v>
      </c>
      <c r="L30" s="114">
        <f t="shared" si="11"/>
        <v>0</v>
      </c>
      <c r="M30" s="113"/>
      <c r="N30" s="113"/>
    </row>
    <row r="31" spans="1:14" ht="13.5" thickBot="1">
      <c r="A31" s="1708"/>
      <c r="B31" s="1709"/>
      <c r="C31" s="1065"/>
      <c r="D31" s="1065"/>
      <c r="E31" s="1065"/>
      <c r="F31" s="319"/>
      <c r="G31" s="128"/>
      <c r="H31" s="129"/>
      <c r="I31" s="130"/>
      <c r="J31" s="128"/>
      <c r="K31" s="128"/>
      <c r="L31" s="129"/>
      <c r="M31" s="128"/>
      <c r="N31" s="128"/>
    </row>
    <row r="32" spans="1:14" ht="13.5" thickBot="1">
      <c r="A32" s="1069" t="s">
        <v>71</v>
      </c>
      <c r="B32" s="1070"/>
      <c r="C32" s="1070"/>
      <c r="D32" s="1070"/>
      <c r="E32" s="1070"/>
      <c r="F32" s="1436"/>
      <c r="G32" s="1073">
        <f>SUM(G19:G31)</f>
        <v>127620.10124999999</v>
      </c>
      <c r="H32" s="1074">
        <f t="shared" ref="H32:J32" si="12">SUM(H19:H31)</f>
        <v>114858.10912499999</v>
      </c>
      <c r="I32" s="1073">
        <f>SUM(I19,I20,I22,I24,I26)</f>
        <v>106004.55375000001</v>
      </c>
      <c r="J32" s="1074">
        <f t="shared" si="12"/>
        <v>106004.73375</v>
      </c>
      <c r="K32" s="1073">
        <f>SUM(K19:K31)</f>
        <v>123737.83312499999</v>
      </c>
      <c r="L32" s="1074">
        <f t="shared" ref="L32" si="13">SUM(L19:L31)</f>
        <v>123737.83312499999</v>
      </c>
      <c r="M32" s="1437"/>
      <c r="N32" s="1437"/>
    </row>
    <row r="33" spans="1:14" s="1080" customFormat="1" ht="13.5" thickBot="1">
      <c r="A33" s="1075"/>
      <c r="B33" s="1076"/>
      <c r="C33" s="1076"/>
      <c r="D33" s="1076"/>
      <c r="E33" s="1076"/>
      <c r="F33" s="1438"/>
      <c r="G33" s="1078"/>
      <c r="H33" s="1079"/>
      <c r="I33" s="1078"/>
      <c r="J33" s="1079"/>
      <c r="K33" s="1078"/>
      <c r="L33" s="1079"/>
      <c r="M33" s="1331"/>
      <c r="N33" s="1331"/>
    </row>
    <row r="34" spans="1:14" s="954" customFormat="1" ht="13.5" thickBot="1">
      <c r="A34" s="1069" t="s">
        <v>72</v>
      </c>
      <c r="B34" s="1070"/>
      <c r="C34" s="1070"/>
      <c r="D34" s="1070"/>
      <c r="E34" s="1070"/>
      <c r="F34" s="1436"/>
      <c r="G34" s="1074">
        <f>G19+G28+G20+G22+G21</f>
        <v>107526</v>
      </c>
      <c r="H34" s="1081">
        <f>H19+H28</f>
        <v>96773.4</v>
      </c>
      <c r="I34" s="1074">
        <f>I19+I22+I30</f>
        <v>89314</v>
      </c>
      <c r="J34" s="1074">
        <f>J19+J22+J30</f>
        <v>89314</v>
      </c>
      <c r="K34" s="1074">
        <f>K19+K28+K20+K22+K21</f>
        <v>104255</v>
      </c>
      <c r="L34" s="1081">
        <f t="shared" ref="L34" si="14">L19+L28+L20+L22</f>
        <v>104255</v>
      </c>
      <c r="M34" s="1439"/>
      <c r="N34" s="1439"/>
    </row>
    <row r="35" spans="1:14" ht="13.5" thickBot="1">
      <c r="A35" s="1082"/>
      <c r="B35" s="1083"/>
      <c r="C35" s="1084"/>
      <c r="D35" s="1084"/>
      <c r="E35" s="1084"/>
      <c r="F35" s="322"/>
      <c r="G35" s="1108"/>
      <c r="H35" s="1440"/>
      <c r="I35" s="1108"/>
      <c r="J35" s="1441"/>
      <c r="K35" s="1108"/>
      <c r="L35" s="1440"/>
      <c r="M35" s="1442"/>
      <c r="N35" s="1442"/>
    </row>
    <row r="36" spans="1:14">
      <c r="A36" s="1086" t="s">
        <v>73</v>
      </c>
      <c r="B36" s="1087" t="s">
        <v>74</v>
      </c>
      <c r="C36" s="1088"/>
      <c r="D36" s="1088"/>
      <c r="E36" s="1088"/>
      <c r="F36" s="323"/>
      <c r="G36" s="1090" t="s">
        <v>328</v>
      </c>
      <c r="H36" s="1090" t="s">
        <v>328</v>
      </c>
      <c r="I36" s="1090" t="s">
        <v>328</v>
      </c>
      <c r="J36" s="1090" t="s">
        <v>328</v>
      </c>
      <c r="K36" s="1090" t="s">
        <v>328</v>
      </c>
      <c r="L36" s="1090" t="s">
        <v>328</v>
      </c>
      <c r="M36" s="1443"/>
      <c r="N36" s="1443"/>
    </row>
    <row r="37" spans="1:14" ht="13.5" thickBot="1">
      <c r="A37" s="1091" t="s">
        <v>79</v>
      </c>
      <c r="B37" s="1092" t="s">
        <v>80</v>
      </c>
      <c r="C37" s="1093"/>
      <c r="D37" s="1093"/>
      <c r="E37" s="1093"/>
      <c r="F37" s="324"/>
      <c r="G37" s="1090" t="s">
        <v>165</v>
      </c>
      <c r="H37" s="1445" t="s">
        <v>82</v>
      </c>
      <c r="I37" s="1446" t="s">
        <v>82</v>
      </c>
      <c r="J37" s="1447" t="s">
        <v>1906</v>
      </c>
      <c r="K37" s="1447" t="s">
        <v>82</v>
      </c>
      <c r="L37" s="1447" t="s">
        <v>82</v>
      </c>
      <c r="M37" s="1090"/>
      <c r="N37" s="1090"/>
    </row>
    <row r="38" spans="1:14" ht="76.5">
      <c r="A38" s="1097" t="s">
        <v>85</v>
      </c>
      <c r="B38" s="1098" t="s">
        <v>86</v>
      </c>
      <c r="C38" s="1099"/>
      <c r="D38" s="1099"/>
      <c r="E38" s="1099"/>
      <c r="F38" s="325"/>
      <c r="G38" s="1448" t="s">
        <v>167</v>
      </c>
      <c r="H38" s="1448" t="s">
        <v>1796</v>
      </c>
      <c r="I38" s="1448" t="s">
        <v>1796</v>
      </c>
      <c r="J38" s="1448" t="s">
        <v>1907</v>
      </c>
      <c r="K38" s="1448" t="s">
        <v>167</v>
      </c>
      <c r="L38" s="1448" t="s">
        <v>1797</v>
      </c>
      <c r="M38" s="1100"/>
      <c r="N38" s="1100"/>
    </row>
    <row r="39" spans="1:14">
      <c r="A39" s="1101" t="s">
        <v>90</v>
      </c>
      <c r="B39" s="1099" t="s">
        <v>91</v>
      </c>
      <c r="C39" s="1099"/>
      <c r="D39" s="1099"/>
      <c r="E39" s="1099"/>
      <c r="F39" s="325"/>
      <c r="G39" s="1448" t="s">
        <v>92</v>
      </c>
      <c r="H39" s="1449" t="s">
        <v>351</v>
      </c>
      <c r="I39" s="1449" t="s">
        <v>92</v>
      </c>
      <c r="J39" s="1449" t="s">
        <v>92</v>
      </c>
      <c r="K39" s="1449" t="s">
        <v>92</v>
      </c>
      <c r="L39" s="1449" t="s">
        <v>92</v>
      </c>
      <c r="M39" s="1100"/>
      <c r="N39" s="1100"/>
    </row>
    <row r="40" spans="1:14" ht="39.950000000000003" customHeight="1">
      <c r="A40" s="1101" t="s">
        <v>93</v>
      </c>
      <c r="B40" s="1098" t="s">
        <v>94</v>
      </c>
      <c r="C40" s="1099"/>
      <c r="D40" s="1099"/>
      <c r="E40" s="1099"/>
      <c r="F40" s="325"/>
      <c r="G40" s="1450"/>
      <c r="H40" s="1451"/>
      <c r="I40" s="1450"/>
      <c r="J40" s="1452"/>
      <c r="K40" s="1452"/>
      <c r="L40" s="1452"/>
      <c r="M40" s="1102"/>
      <c r="N40" s="1102"/>
    </row>
    <row r="41" spans="1:14" ht="140.25">
      <c r="A41" s="1101" t="s">
        <v>95</v>
      </c>
      <c r="B41" s="1098" t="s">
        <v>96</v>
      </c>
      <c r="C41" s="1099"/>
      <c r="D41" s="1099"/>
      <c r="E41" s="1099"/>
      <c r="F41" s="325"/>
      <c r="G41" s="1448" t="s">
        <v>97</v>
      </c>
      <c r="H41" s="1448" t="s">
        <v>97</v>
      </c>
      <c r="I41" s="1448" t="s">
        <v>97</v>
      </c>
      <c r="J41" s="1448" t="s">
        <v>98</v>
      </c>
      <c r="K41" s="1448" t="s">
        <v>98</v>
      </c>
      <c r="L41" s="1448" t="s">
        <v>98</v>
      </c>
      <c r="M41" s="1102"/>
      <c r="N41" s="1102"/>
    </row>
    <row r="42" spans="1:14" ht="64.5" thickBot="1">
      <c r="A42" s="1104" t="s">
        <v>99</v>
      </c>
      <c r="B42" s="1105" t="s">
        <v>100</v>
      </c>
      <c r="C42" s="1106"/>
      <c r="D42" s="1106"/>
      <c r="E42" s="1106"/>
      <c r="F42" s="326"/>
      <c r="G42" s="1453" t="s">
        <v>101</v>
      </c>
      <c r="H42" s="1453" t="s">
        <v>101</v>
      </c>
      <c r="I42" s="1453" t="s">
        <v>101</v>
      </c>
      <c r="J42" s="1453" t="s">
        <v>101</v>
      </c>
      <c r="K42" s="1453" t="s">
        <v>101</v>
      </c>
      <c r="L42" s="1453" t="s">
        <v>101</v>
      </c>
      <c r="M42" s="1454"/>
      <c r="N42" s="1454"/>
    </row>
    <row r="43" spans="1:14" ht="30" customHeight="1">
      <c r="A43" s="1710" t="s">
        <v>102</v>
      </c>
      <c r="B43" s="1711"/>
      <c r="C43" s="1712"/>
      <c r="D43" s="1382"/>
      <c r="E43" s="1695" t="s">
        <v>103</v>
      </c>
      <c r="F43" s="1696"/>
      <c r="G43" s="1696"/>
      <c r="H43" s="1696"/>
      <c r="I43" s="1697"/>
      <c r="J43" s="1698" t="s">
        <v>104</v>
      </c>
      <c r="K43" s="1699"/>
      <c r="L43" s="1699"/>
      <c r="M43" s="1699"/>
      <c r="N43" s="1700"/>
    </row>
    <row r="44" spans="1:14" ht="13.5" thickBot="1">
      <c r="A44" s="1710"/>
      <c r="B44" s="1711"/>
      <c r="C44" s="1712"/>
      <c r="D44" s="1382"/>
      <c r="E44" s="1695"/>
      <c r="F44" s="1696"/>
      <c r="G44" s="1696"/>
      <c r="H44" s="1696"/>
      <c r="I44" s="1697"/>
      <c r="J44" s="1701"/>
      <c r="K44" s="1702"/>
      <c r="L44" s="1702"/>
      <c r="M44" s="1702"/>
      <c r="N44" s="1703"/>
    </row>
    <row r="45" spans="1:14">
      <c r="A45" s="1108"/>
      <c r="B45" s="1109"/>
      <c r="C45" s="1110"/>
      <c r="D45" s="1110"/>
      <c r="E45" s="1110"/>
      <c r="F45" s="328"/>
      <c r="G45" s="1110"/>
      <c r="H45" s="1110"/>
      <c r="I45" s="1110"/>
      <c r="J45" s="1110"/>
      <c r="K45" s="1110"/>
      <c r="L45" s="1110"/>
      <c r="M45" s="1110"/>
      <c r="N45" s="1455"/>
    </row>
    <row r="46" spans="1:14">
      <c r="A46" s="1112"/>
      <c r="B46" s="1113"/>
      <c r="C46" s="1111"/>
      <c r="D46" s="1111"/>
      <c r="E46" s="1111"/>
      <c r="F46" s="329"/>
      <c r="G46" s="1111"/>
      <c r="H46" s="1111"/>
      <c r="I46" s="1111"/>
      <c r="J46" s="1111"/>
      <c r="K46" s="1111"/>
      <c r="L46" s="1111"/>
      <c r="M46" s="1111"/>
      <c r="N46" s="1456"/>
    </row>
    <row r="47" spans="1:14">
      <c r="A47" s="1112"/>
      <c r="B47" s="972" t="s">
        <v>105</v>
      </c>
      <c r="C47" s="974"/>
      <c r="D47" s="974"/>
      <c r="E47" s="974"/>
      <c r="F47" s="1457" t="s">
        <v>106</v>
      </c>
      <c r="G47" s="1111"/>
      <c r="H47" s="974"/>
      <c r="I47" s="974"/>
      <c r="J47" s="974"/>
      <c r="K47" s="1111"/>
      <c r="L47" s="1111"/>
      <c r="M47" s="1111"/>
      <c r="N47" s="1456"/>
    </row>
    <row r="48" spans="1:14" ht="13.5" thickBot="1">
      <c r="A48" s="1114"/>
      <c r="B48" s="1115"/>
      <c r="C48" s="1116"/>
      <c r="D48" s="1116"/>
      <c r="E48" s="1116"/>
      <c r="F48" s="1458"/>
      <c r="G48" s="1116"/>
      <c r="H48" s="1116"/>
      <c r="I48" s="1116"/>
      <c r="J48" s="1116"/>
      <c r="K48" s="1116"/>
      <c r="L48" s="1116"/>
      <c r="M48" s="1116"/>
      <c r="N48" s="1459"/>
    </row>
  </sheetData>
  <mergeCells count="32">
    <mergeCell ref="A2:N2"/>
    <mergeCell ref="A3:N3"/>
    <mergeCell ref="F4:F5"/>
    <mergeCell ref="G4:H5"/>
    <mergeCell ref="A7:A12"/>
    <mergeCell ref="B7:B12"/>
    <mergeCell ref="C7:C12"/>
    <mergeCell ref="E7:E12"/>
    <mergeCell ref="F7:F12"/>
    <mergeCell ref="G7:H7"/>
    <mergeCell ref="I7:J7"/>
    <mergeCell ref="K7:L7"/>
    <mergeCell ref="M7:N7"/>
    <mergeCell ref="G8:H9"/>
    <mergeCell ref="I8:J9"/>
    <mergeCell ref="K8:L9"/>
    <mergeCell ref="M8:N9"/>
    <mergeCell ref="G10:H10"/>
    <mergeCell ref="I10:J10"/>
    <mergeCell ref="K10:L10"/>
    <mergeCell ref="M10:N10"/>
    <mergeCell ref="G11:H11"/>
    <mergeCell ref="I11:J11"/>
    <mergeCell ref="K11:L11"/>
    <mergeCell ref="E43:I44"/>
    <mergeCell ref="J43:N44"/>
    <mergeCell ref="A43:C44"/>
    <mergeCell ref="A20:B20"/>
    <mergeCell ref="A22:B22"/>
    <mergeCell ref="A25:B25"/>
    <mergeCell ref="A29:B29"/>
    <mergeCell ref="A31:B31"/>
  </mergeCells>
  <pageMargins left="0.25" right="0.25" top="0.75" bottom="0.75" header="0.3" footer="0.3"/>
  <pageSetup scale="5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Q40"/>
  <sheetViews>
    <sheetView topLeftCell="A22" workbookViewId="0">
      <selection activeCell="M40" sqref="M40"/>
    </sheetView>
  </sheetViews>
  <sheetFormatPr defaultRowHeight="15"/>
  <cols>
    <col min="2" max="2" width="4.140625" bestFit="1" customWidth="1"/>
    <col min="3" max="3" width="6.85546875" customWidth="1"/>
    <col min="4" max="4" width="11" bestFit="1" customWidth="1"/>
    <col min="7" max="7" width="27.7109375" bestFit="1" customWidth="1"/>
    <col min="10" max="10" width="11" bestFit="1" customWidth="1"/>
    <col min="11" max="11" width="11.85546875" bestFit="1" customWidth="1"/>
    <col min="13" max="13" width="10.85546875" customWidth="1"/>
    <col min="14" max="14" width="21.42578125" customWidth="1"/>
    <col min="15" max="15" width="25.28515625" customWidth="1"/>
  </cols>
  <sheetData>
    <row r="5" spans="2:17" ht="15.75" thickBot="1">
      <c r="B5" s="1462"/>
    </row>
    <row r="6" spans="2:17" ht="45.75" thickBot="1">
      <c r="B6" s="1117" t="s">
        <v>415</v>
      </c>
      <c r="C6" s="1118" t="s">
        <v>402</v>
      </c>
      <c r="D6" s="1118" t="s">
        <v>403</v>
      </c>
      <c r="E6" s="1118" t="s">
        <v>4</v>
      </c>
      <c r="F6" s="1118" t="s">
        <v>404</v>
      </c>
      <c r="G6" s="1118" t="s">
        <v>405</v>
      </c>
      <c r="H6" s="1118" t="s">
        <v>406</v>
      </c>
      <c r="I6" s="1118" t="s">
        <v>407</v>
      </c>
      <c r="J6" s="1118" t="s">
        <v>1815</v>
      </c>
      <c r="K6" s="1118" t="s">
        <v>1816</v>
      </c>
      <c r="L6" s="1463" t="s">
        <v>1519</v>
      </c>
      <c r="M6" s="1464" t="s">
        <v>1817</v>
      </c>
      <c r="N6" s="1465" t="s">
        <v>1818</v>
      </c>
      <c r="O6" s="1118" t="s">
        <v>1819</v>
      </c>
    </row>
    <row r="7" spans="2:17" ht="15.75" thickBot="1">
      <c r="B7" s="1119" t="s">
        <v>430</v>
      </c>
      <c r="C7" s="1120">
        <v>103</v>
      </c>
      <c r="D7" s="1120">
        <v>1100024235</v>
      </c>
      <c r="E7" s="1120">
        <v>10</v>
      </c>
      <c r="F7" s="1120">
        <v>1314644</v>
      </c>
      <c r="G7" s="1120" t="s">
        <v>1820</v>
      </c>
      <c r="H7" s="1121">
        <v>2</v>
      </c>
      <c r="I7" s="1120" t="s">
        <v>192</v>
      </c>
      <c r="J7" s="1120">
        <v>3000010900</v>
      </c>
      <c r="K7" s="1120" t="s">
        <v>1821</v>
      </c>
      <c r="L7" s="1466">
        <v>7500</v>
      </c>
      <c r="M7" s="1467">
        <v>6600</v>
      </c>
      <c r="N7" s="1121">
        <v>1800</v>
      </c>
      <c r="O7" s="1120" t="s">
        <v>1822</v>
      </c>
    </row>
    <row r="8" spans="2:17" ht="15.75" thickBot="1">
      <c r="B8" s="1468" t="s">
        <v>430</v>
      </c>
      <c r="C8" s="1469">
        <v>103</v>
      </c>
      <c r="D8" s="1469">
        <v>1100024001</v>
      </c>
      <c r="E8" s="1469">
        <v>10</v>
      </c>
      <c r="F8" s="1469">
        <v>1303926</v>
      </c>
      <c r="G8" s="1469" t="s">
        <v>1823</v>
      </c>
      <c r="H8" s="1470">
        <v>8</v>
      </c>
      <c r="I8" s="1469" t="s">
        <v>192</v>
      </c>
      <c r="J8" s="1120">
        <v>3000015087</v>
      </c>
      <c r="K8" s="1120" t="s">
        <v>1824</v>
      </c>
      <c r="L8" s="1466">
        <v>207</v>
      </c>
      <c r="M8" s="1467">
        <v>118.88</v>
      </c>
      <c r="N8" s="1121">
        <v>704.96</v>
      </c>
      <c r="O8" s="1120" t="s">
        <v>1825</v>
      </c>
    </row>
    <row r="9" spans="2:17" ht="15.75" thickBot="1">
      <c r="B9" s="1468"/>
      <c r="C9" s="1469"/>
      <c r="D9" s="1469"/>
      <c r="E9" s="1469"/>
      <c r="F9" s="1469"/>
      <c r="G9" s="1469"/>
      <c r="H9" s="1469"/>
      <c r="I9" s="1469"/>
      <c r="J9" s="1120"/>
      <c r="K9" s="1120"/>
      <c r="L9" s="1120"/>
      <c r="M9" s="1120"/>
      <c r="N9" s="1471">
        <v>2505</v>
      </c>
      <c r="O9" s="1120"/>
    </row>
    <row r="10" spans="2:17">
      <c r="B10" s="1462"/>
    </row>
    <row r="11" spans="2:17" ht="15.75" thickBot="1"/>
    <row r="12" spans="2:17" ht="15.75" thickBot="1">
      <c r="B12" s="1472" t="s">
        <v>415</v>
      </c>
      <c r="C12" s="1473" t="s">
        <v>402</v>
      </c>
      <c r="D12" s="1473" t="s">
        <v>403</v>
      </c>
      <c r="E12" s="1473" t="s">
        <v>4</v>
      </c>
      <c r="F12" s="1473" t="s">
        <v>404</v>
      </c>
      <c r="G12" s="1473" t="s">
        <v>405</v>
      </c>
      <c r="H12" s="1473" t="s">
        <v>406</v>
      </c>
      <c r="I12" s="1473" t="s">
        <v>407</v>
      </c>
      <c r="J12" s="1473" t="s">
        <v>1826</v>
      </c>
      <c r="K12" s="1473" t="s">
        <v>1827</v>
      </c>
      <c r="L12" s="1473" t="s">
        <v>1828</v>
      </c>
      <c r="M12" s="1473" t="s">
        <v>1829</v>
      </c>
      <c r="N12" s="1476" t="s">
        <v>1830</v>
      </c>
      <c r="O12" s="1477"/>
      <c r="P12" s="1477"/>
      <c r="Q12" s="1478"/>
    </row>
    <row r="13" spans="2:17" ht="15.75" thickBot="1">
      <c r="B13" s="1119" t="s">
        <v>430</v>
      </c>
      <c r="C13" s="1120">
        <v>103</v>
      </c>
      <c r="D13" s="1120">
        <v>1100026096</v>
      </c>
      <c r="E13" s="1120">
        <v>10</v>
      </c>
      <c r="F13" s="1120">
        <v>1316164</v>
      </c>
      <c r="G13" s="1120" t="s">
        <v>1831</v>
      </c>
      <c r="H13" s="1121">
        <v>2</v>
      </c>
      <c r="I13" s="1120" t="s">
        <v>192</v>
      </c>
      <c r="J13" s="1120">
        <v>3000034092</v>
      </c>
      <c r="K13" s="1474">
        <v>42611</v>
      </c>
      <c r="L13" s="1122">
        <v>8600</v>
      </c>
      <c r="M13" s="1120" t="s">
        <v>1832</v>
      </c>
      <c r="N13" s="1120">
        <v>3000006886</v>
      </c>
      <c r="O13" s="1474">
        <v>41677</v>
      </c>
      <c r="P13" s="1122">
        <v>9500</v>
      </c>
      <c r="Q13" s="1120" t="s">
        <v>1822</v>
      </c>
    </row>
    <row r="14" spans="2:17" ht="15.75" thickBot="1">
      <c r="B14" s="1119" t="s">
        <v>430</v>
      </c>
      <c r="C14" s="1120">
        <v>103</v>
      </c>
      <c r="D14" s="1120">
        <v>1100026096</v>
      </c>
      <c r="E14" s="1120">
        <v>20</v>
      </c>
      <c r="F14" s="1120">
        <v>1316161</v>
      </c>
      <c r="G14" s="1120" t="s">
        <v>1833</v>
      </c>
      <c r="H14" s="1121">
        <v>2</v>
      </c>
      <c r="I14" s="1120" t="s">
        <v>192</v>
      </c>
      <c r="J14" s="1120">
        <v>3000034092</v>
      </c>
      <c r="K14" s="1474">
        <v>42611</v>
      </c>
      <c r="L14" s="1122">
        <v>2940</v>
      </c>
      <c r="M14" s="1120" t="s">
        <v>1832</v>
      </c>
      <c r="N14" s="1120">
        <v>3000012085</v>
      </c>
      <c r="O14" s="1474">
        <v>41851</v>
      </c>
      <c r="P14" s="1122">
        <v>4200</v>
      </c>
      <c r="Q14" s="1120" t="s">
        <v>1822</v>
      </c>
    </row>
    <row r="15" spans="2:17" ht="15.75" thickBot="1">
      <c r="B15" s="1119" t="s">
        <v>430</v>
      </c>
      <c r="C15" s="1120">
        <v>103</v>
      </c>
      <c r="D15" s="1120">
        <v>1100026096</v>
      </c>
      <c r="E15" s="1120">
        <v>30</v>
      </c>
      <c r="F15" s="1120">
        <v>1316165</v>
      </c>
      <c r="G15" s="1120" t="s">
        <v>1834</v>
      </c>
      <c r="H15" s="1121">
        <v>2</v>
      </c>
      <c r="I15" s="1120" t="s">
        <v>192</v>
      </c>
      <c r="J15" s="1120">
        <v>3000034092</v>
      </c>
      <c r="K15" s="1474">
        <v>42611</v>
      </c>
      <c r="L15" s="1122">
        <v>6400</v>
      </c>
      <c r="M15" s="1120" t="s">
        <v>1832</v>
      </c>
      <c r="N15" s="1120">
        <v>3000006886</v>
      </c>
      <c r="O15" s="1474">
        <v>41677</v>
      </c>
      <c r="P15" s="1122">
        <v>8200</v>
      </c>
      <c r="Q15" s="1120" t="s">
        <v>1822</v>
      </c>
    </row>
    <row r="16" spans="2:17" ht="15.75" thickBot="1">
      <c r="B16" s="1119" t="s">
        <v>430</v>
      </c>
      <c r="C16" s="1120">
        <v>103</v>
      </c>
      <c r="D16" s="1120">
        <v>1100026096</v>
      </c>
      <c r="E16" s="1120">
        <v>40</v>
      </c>
      <c r="F16" s="1120">
        <v>1316163</v>
      </c>
      <c r="G16" s="1120" t="s">
        <v>1835</v>
      </c>
      <c r="H16" s="1121">
        <v>2</v>
      </c>
      <c r="I16" s="1120" t="s">
        <v>192</v>
      </c>
      <c r="J16" s="1120">
        <v>3000034092</v>
      </c>
      <c r="K16" s="1474">
        <v>42611</v>
      </c>
      <c r="L16" s="1122">
        <v>3300</v>
      </c>
      <c r="M16" s="1120" t="s">
        <v>1832</v>
      </c>
      <c r="N16" s="1120">
        <v>3000006886</v>
      </c>
      <c r="O16" s="1474">
        <v>41677</v>
      </c>
      <c r="P16" s="1122">
        <v>4200</v>
      </c>
      <c r="Q16" s="1120" t="s">
        <v>1822</v>
      </c>
    </row>
    <row r="17" spans="2:17" ht="15.75" thickBot="1">
      <c r="B17" s="1119"/>
      <c r="C17" s="1120"/>
      <c r="D17" s="1120"/>
      <c r="E17" s="1120"/>
      <c r="F17" s="1120"/>
      <c r="G17" s="1120"/>
      <c r="H17" s="1120"/>
      <c r="I17" s="1120"/>
      <c r="J17" s="1120"/>
      <c r="K17" s="1120"/>
      <c r="L17" s="1122">
        <v>42480</v>
      </c>
      <c r="M17" s="1120"/>
      <c r="N17" s="1120"/>
      <c r="O17" s="1120"/>
      <c r="P17" s="1122">
        <v>52200</v>
      </c>
      <c r="Q17" s="1475">
        <v>9720</v>
      </c>
    </row>
    <row r="19" spans="2:17">
      <c r="B19" s="1479" t="s">
        <v>1836</v>
      </c>
    </row>
    <row r="20" spans="2:17">
      <c r="B20" s="1480" t="s">
        <v>1837</v>
      </c>
    </row>
    <row r="21" spans="2:17" ht="15.75" thickBot="1">
      <c r="B21" s="1462"/>
    </row>
    <row r="22" spans="2:17" ht="15.75" thickBot="1">
      <c r="B22" s="1472" t="s">
        <v>415</v>
      </c>
      <c r="C22" s="1473" t="s">
        <v>402</v>
      </c>
      <c r="D22" s="1473" t="s">
        <v>403</v>
      </c>
      <c r="E22" s="1473" t="s">
        <v>4</v>
      </c>
      <c r="F22" s="1473" t="s">
        <v>404</v>
      </c>
      <c r="G22" s="1473" t="s">
        <v>405</v>
      </c>
      <c r="H22" s="1473" t="s">
        <v>406</v>
      </c>
      <c r="I22" s="1473" t="s">
        <v>407</v>
      </c>
      <c r="J22" s="1473" t="s">
        <v>1826</v>
      </c>
      <c r="K22" s="1473" t="s">
        <v>1827</v>
      </c>
      <c r="L22" s="1473" t="s">
        <v>1828</v>
      </c>
      <c r="M22" s="1473" t="s">
        <v>1838</v>
      </c>
      <c r="N22" s="1481" t="s">
        <v>1839</v>
      </c>
    </row>
    <row r="23" spans="2:17" ht="15.75" thickBot="1">
      <c r="B23" s="1119" t="s">
        <v>430</v>
      </c>
      <c r="C23" s="1120">
        <v>103</v>
      </c>
      <c r="D23" s="1120">
        <v>1100026156</v>
      </c>
      <c r="E23" s="1120">
        <v>10</v>
      </c>
      <c r="F23" s="1120">
        <v>1313857</v>
      </c>
      <c r="G23" s="1120" t="s">
        <v>1840</v>
      </c>
      <c r="H23" s="1121">
        <v>4</v>
      </c>
      <c r="I23" s="1120" t="s">
        <v>192</v>
      </c>
      <c r="J23" s="1482">
        <v>3000017242</v>
      </c>
      <c r="K23" s="1120" t="s">
        <v>1841</v>
      </c>
      <c r="L23" s="1121">
        <v>915.6</v>
      </c>
      <c r="M23" s="1483" t="s">
        <v>1842</v>
      </c>
      <c r="N23" s="1482">
        <v>1062.4000000000001</v>
      </c>
    </row>
    <row r="24" spans="2:17">
      <c r="B24" s="1462"/>
    </row>
    <row r="25" spans="2:17" ht="15.75" thickBot="1"/>
    <row r="26" spans="2:17" ht="60.75" thickBot="1">
      <c r="B26" s="1117" t="s">
        <v>415</v>
      </c>
      <c r="C26" s="1118" t="s">
        <v>402</v>
      </c>
      <c r="D26" s="1118" t="s">
        <v>403</v>
      </c>
      <c r="E26" s="1118" t="s">
        <v>4</v>
      </c>
      <c r="F26" s="1118" t="s">
        <v>404</v>
      </c>
      <c r="G26" s="1118" t="s">
        <v>405</v>
      </c>
      <c r="H26" s="1118" t="s">
        <v>406</v>
      </c>
      <c r="I26" s="1118" t="s">
        <v>407</v>
      </c>
      <c r="J26" s="1118" t="s">
        <v>1815</v>
      </c>
      <c r="K26" s="1118" t="s">
        <v>1816</v>
      </c>
      <c r="L26" s="1118" t="s">
        <v>1519</v>
      </c>
      <c r="M26" s="1488" t="s">
        <v>1859</v>
      </c>
      <c r="N26" s="1465" t="s">
        <v>1818</v>
      </c>
      <c r="O26" s="1465" t="s">
        <v>1819</v>
      </c>
    </row>
    <row r="27" spans="2:17" ht="15.75" thickBot="1">
      <c r="B27" s="1119" t="s">
        <v>430</v>
      </c>
      <c r="C27" s="1120">
        <v>103</v>
      </c>
      <c r="D27" s="1120">
        <v>1100024950</v>
      </c>
      <c r="E27" s="1120">
        <v>10</v>
      </c>
      <c r="F27" s="1120">
        <v>1306566</v>
      </c>
      <c r="G27" s="1120" t="s">
        <v>1860</v>
      </c>
      <c r="H27" s="1121">
        <v>500</v>
      </c>
      <c r="I27" s="1120" t="s">
        <v>192</v>
      </c>
      <c r="J27" s="1120">
        <v>3000029885</v>
      </c>
      <c r="K27" s="1474">
        <v>42475</v>
      </c>
      <c r="L27" s="1471">
        <v>18.89</v>
      </c>
      <c r="M27" s="1489">
        <v>18.89</v>
      </c>
      <c r="N27" s="1490"/>
      <c r="O27" s="1120" t="s">
        <v>1861</v>
      </c>
    </row>
    <row r="28" spans="2:17" ht="15.75" thickBot="1">
      <c r="B28" s="1119" t="s">
        <v>430</v>
      </c>
      <c r="C28" s="1120">
        <v>103</v>
      </c>
      <c r="D28" s="1120">
        <v>1100024950</v>
      </c>
      <c r="E28" s="1120">
        <v>20</v>
      </c>
      <c r="F28" s="1120">
        <v>1306559</v>
      </c>
      <c r="G28" s="1120" t="s">
        <v>1862</v>
      </c>
      <c r="H28" s="1121">
        <v>500</v>
      </c>
      <c r="I28" s="1120" t="s">
        <v>192</v>
      </c>
      <c r="J28" s="1120">
        <v>3000032458</v>
      </c>
      <c r="K28" s="1474">
        <v>42562</v>
      </c>
      <c r="L28" s="1471">
        <v>9.31</v>
      </c>
      <c r="M28" s="1489">
        <v>9.31</v>
      </c>
      <c r="N28" s="1490"/>
      <c r="O28" s="1120" t="s">
        <v>1861</v>
      </c>
    </row>
    <row r="29" spans="2:17" ht="15.75" thickBot="1">
      <c r="B29" s="1119" t="s">
        <v>430</v>
      </c>
      <c r="C29" s="1120">
        <v>103</v>
      </c>
      <c r="D29" s="1120">
        <v>1100024873</v>
      </c>
      <c r="E29" s="1120">
        <v>10</v>
      </c>
      <c r="F29" s="1120">
        <v>1306783</v>
      </c>
      <c r="G29" s="1120" t="s">
        <v>1863</v>
      </c>
      <c r="H29" s="1121">
        <v>25</v>
      </c>
      <c r="I29" s="1120" t="s">
        <v>192</v>
      </c>
      <c r="J29" s="1120">
        <v>3000022967</v>
      </c>
      <c r="K29" s="1474">
        <v>42221</v>
      </c>
      <c r="L29" s="1466">
        <v>108.9</v>
      </c>
      <c r="M29" s="1491">
        <v>100</v>
      </c>
      <c r="N29" s="1121">
        <v>222.5</v>
      </c>
      <c r="O29" s="1120" t="s">
        <v>1864</v>
      </c>
    </row>
    <row r="30" spans="2:17" ht="15.75" thickBot="1">
      <c r="B30" s="1119" t="s">
        <v>430</v>
      </c>
      <c r="C30" s="1120">
        <v>103</v>
      </c>
      <c r="D30" s="1120">
        <v>1100024873</v>
      </c>
      <c r="E30" s="1120">
        <v>20</v>
      </c>
      <c r="F30" s="1120">
        <v>1306785</v>
      </c>
      <c r="G30" s="1120" t="s">
        <v>1865</v>
      </c>
      <c r="H30" s="1121">
        <v>25</v>
      </c>
      <c r="I30" s="1120" t="s">
        <v>192</v>
      </c>
      <c r="J30" s="1120">
        <v>3000014859</v>
      </c>
      <c r="K30" s="1474">
        <v>41953</v>
      </c>
      <c r="L30" s="1466">
        <v>182.7</v>
      </c>
      <c r="M30" s="1491">
        <v>141.19999999999999</v>
      </c>
      <c r="N30" s="1122">
        <v>1037.5</v>
      </c>
      <c r="O30" s="1120" t="s">
        <v>1864</v>
      </c>
    </row>
    <row r="31" spans="2:17" ht="15.75" thickBot="1">
      <c r="B31" s="1119" t="s">
        <v>430</v>
      </c>
      <c r="C31" s="1120">
        <v>103</v>
      </c>
      <c r="D31" s="1120">
        <v>1100024873</v>
      </c>
      <c r="E31" s="1120">
        <v>30</v>
      </c>
      <c r="F31" s="1120">
        <v>1306788</v>
      </c>
      <c r="G31" s="1120" t="s">
        <v>1866</v>
      </c>
      <c r="H31" s="1121">
        <v>15</v>
      </c>
      <c r="I31" s="1120" t="s">
        <v>192</v>
      </c>
      <c r="J31" s="1120">
        <v>3000009423</v>
      </c>
      <c r="K31" s="1474">
        <v>41758</v>
      </c>
      <c r="L31" s="1121">
        <v>63</v>
      </c>
      <c r="M31" s="1491">
        <v>72</v>
      </c>
      <c r="N31" s="1120"/>
      <c r="O31" s="1120" t="s">
        <v>1864</v>
      </c>
    </row>
    <row r="32" spans="2:17" ht="15.75" thickBot="1">
      <c r="B32" s="1119" t="s">
        <v>430</v>
      </c>
      <c r="C32" s="1120">
        <v>103</v>
      </c>
      <c r="D32" s="1120">
        <v>1100024873</v>
      </c>
      <c r="E32" s="1120">
        <v>40</v>
      </c>
      <c r="F32" s="1120">
        <v>1306794</v>
      </c>
      <c r="G32" s="1120" t="s">
        <v>1867</v>
      </c>
      <c r="H32" s="1121">
        <v>25</v>
      </c>
      <c r="I32" s="1120" t="s">
        <v>192</v>
      </c>
      <c r="J32" s="1120">
        <v>3000012413</v>
      </c>
      <c r="K32" s="1474">
        <v>41862</v>
      </c>
      <c r="L32" s="1466">
        <v>450</v>
      </c>
      <c r="M32" s="1491">
        <v>359.2</v>
      </c>
      <c r="N32" s="1122">
        <v>2270</v>
      </c>
      <c r="O32" s="1120" t="s">
        <v>1864</v>
      </c>
    </row>
    <row r="33" spans="2:15" ht="15.75" thickBot="1">
      <c r="B33" s="1119" t="s">
        <v>430</v>
      </c>
      <c r="C33" s="1120">
        <v>103</v>
      </c>
      <c r="D33" s="1120">
        <v>1100024873</v>
      </c>
      <c r="E33" s="1120">
        <v>50</v>
      </c>
      <c r="F33" s="1120">
        <v>1306797</v>
      </c>
      <c r="G33" s="1120" t="s">
        <v>1868</v>
      </c>
      <c r="H33" s="1121">
        <v>20</v>
      </c>
      <c r="I33" s="1120" t="s">
        <v>192</v>
      </c>
      <c r="J33" s="1120">
        <v>3000012413</v>
      </c>
      <c r="K33" s="1474">
        <v>41862</v>
      </c>
      <c r="L33" s="1466">
        <v>540</v>
      </c>
      <c r="M33" s="1491">
        <v>510</v>
      </c>
      <c r="N33" s="1121">
        <v>600</v>
      </c>
      <c r="O33" s="1120" t="s">
        <v>1864</v>
      </c>
    </row>
    <row r="34" spans="2:15" ht="15.75" thickBot="1">
      <c r="B34" s="1119" t="s">
        <v>430</v>
      </c>
      <c r="C34" s="1120">
        <v>103</v>
      </c>
      <c r="D34" s="1120">
        <v>1100024873</v>
      </c>
      <c r="E34" s="1120">
        <v>60</v>
      </c>
      <c r="F34" s="1120">
        <v>1319725</v>
      </c>
      <c r="G34" s="1120" t="s">
        <v>1869</v>
      </c>
      <c r="H34" s="1121">
        <v>15</v>
      </c>
      <c r="I34" s="1120" t="s">
        <v>192</v>
      </c>
      <c r="J34" s="1120">
        <v>3000018615</v>
      </c>
      <c r="K34" s="1474">
        <v>42080</v>
      </c>
      <c r="L34" s="1466">
        <v>298.77999999999997</v>
      </c>
      <c r="M34" s="1491">
        <v>253.2</v>
      </c>
      <c r="N34" s="1121">
        <v>683.7</v>
      </c>
      <c r="O34" s="1120" t="s">
        <v>1861</v>
      </c>
    </row>
    <row r="35" spans="2:15" ht="15.75" thickBot="1">
      <c r="B35" s="1119" t="s">
        <v>430</v>
      </c>
      <c r="C35" s="1120">
        <v>103</v>
      </c>
      <c r="D35" s="1120">
        <v>1100024873</v>
      </c>
      <c r="E35" s="1120">
        <v>70</v>
      </c>
      <c r="F35" s="1120">
        <v>1306806</v>
      </c>
      <c r="G35" s="1120" t="s">
        <v>1870</v>
      </c>
      <c r="H35" s="1121">
        <v>15</v>
      </c>
      <c r="I35" s="1120" t="s">
        <v>192</v>
      </c>
      <c r="J35" s="1120">
        <v>3000033176</v>
      </c>
      <c r="K35" s="1474">
        <v>42583</v>
      </c>
      <c r="L35" s="1471">
        <v>114.24</v>
      </c>
      <c r="M35" s="1489">
        <v>114.24</v>
      </c>
      <c r="N35" s="1490"/>
      <c r="O35" s="1120" t="s">
        <v>1861</v>
      </c>
    </row>
    <row r="36" spans="2:15" ht="15.75" thickBot="1">
      <c r="B36" s="1119" t="s">
        <v>430</v>
      </c>
      <c r="C36" s="1120">
        <v>103</v>
      </c>
      <c r="D36" s="1120">
        <v>1100024837</v>
      </c>
      <c r="E36" s="1120">
        <v>10</v>
      </c>
      <c r="F36" s="1120">
        <v>1324931</v>
      </c>
      <c r="G36" s="1120" t="s">
        <v>1871</v>
      </c>
      <c r="H36" s="1121">
        <v>1</v>
      </c>
      <c r="I36" s="1120" t="s">
        <v>192</v>
      </c>
      <c r="J36" s="1120"/>
      <c r="K36" s="1120"/>
      <c r="L36" s="1120"/>
      <c r="M36" s="1492">
        <v>1876.55</v>
      </c>
      <c r="N36" s="1120"/>
      <c r="O36" s="1120"/>
    </row>
    <row r="37" spans="2:15" ht="15.75" thickBot="1">
      <c r="B37" s="1119" t="s">
        <v>430</v>
      </c>
      <c r="C37" s="1120">
        <v>103</v>
      </c>
      <c r="D37" s="1120">
        <v>1100024837</v>
      </c>
      <c r="E37" s="1120">
        <v>20</v>
      </c>
      <c r="F37" s="1120">
        <v>1306646</v>
      </c>
      <c r="G37" s="1120" t="s">
        <v>1872</v>
      </c>
      <c r="H37" s="1121">
        <v>70</v>
      </c>
      <c r="I37" s="1120" t="s">
        <v>345</v>
      </c>
      <c r="J37" s="1120">
        <v>3000012448</v>
      </c>
      <c r="K37" s="1474">
        <v>41863</v>
      </c>
      <c r="L37" s="1121">
        <v>337.53</v>
      </c>
      <c r="M37" s="1491">
        <v>365.3</v>
      </c>
      <c r="N37" s="1120"/>
      <c r="O37" s="1120" t="s">
        <v>1873</v>
      </c>
    </row>
    <row r="38" spans="2:15" ht="15.75" thickBot="1">
      <c r="B38" s="1119"/>
      <c r="C38" s="1120"/>
      <c r="D38" s="1120"/>
      <c r="E38" s="1120"/>
      <c r="F38" s="1120"/>
      <c r="G38" s="1120"/>
      <c r="H38" s="1120"/>
      <c r="I38" s="1120"/>
      <c r="J38" s="1120"/>
      <c r="K38" s="1120"/>
      <c r="L38" s="1120"/>
      <c r="M38" s="1493" t="s">
        <v>1874</v>
      </c>
      <c r="N38" s="1494" t="s">
        <v>1875</v>
      </c>
      <c r="O38" s="1119"/>
    </row>
    <row r="40" spans="2:15">
      <c r="M40" s="55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
  <sheetViews>
    <sheetView topLeftCell="A70" zoomScaleNormal="100" workbookViewId="0">
      <selection activeCell="H42" sqref="H42"/>
    </sheetView>
  </sheetViews>
  <sheetFormatPr defaultRowHeight="12.75"/>
  <cols>
    <col min="1" max="1" width="6.140625" style="956" customWidth="1"/>
    <col min="2" max="2" width="52.7109375" style="973" customWidth="1"/>
    <col min="3" max="3" width="11.7109375" style="973" customWidth="1"/>
    <col min="4" max="4" width="11.7109375" style="956" customWidth="1"/>
    <col min="5" max="5" width="11.42578125" style="956" customWidth="1"/>
    <col min="6" max="6" width="10.140625" style="956" customWidth="1"/>
    <col min="7" max="7" width="6.140625" style="956" customWidth="1"/>
    <col min="8" max="8" width="12.7109375" style="1460" customWidth="1"/>
    <col min="9" max="9" width="21.85546875" style="956" customWidth="1"/>
    <col min="10" max="10" width="19.140625" style="956" customWidth="1"/>
    <col min="11" max="11" width="20.5703125" style="956" customWidth="1"/>
    <col min="12" max="12" width="18.85546875" style="956" customWidth="1"/>
    <col min="13" max="13" width="14.85546875" style="956" customWidth="1"/>
    <col min="14" max="14" width="18" style="956" customWidth="1"/>
    <col min="15" max="15" width="12.28515625" style="956" customWidth="1"/>
    <col min="16" max="16" width="13" style="956" customWidth="1"/>
    <col min="17" max="251" width="9.140625" style="956"/>
    <col min="252" max="252" width="4" style="956" customWidth="1"/>
    <col min="253" max="253" width="30.7109375" style="956" customWidth="1"/>
    <col min="254" max="255" width="10" style="956" customWidth="1"/>
    <col min="256" max="256" width="9.85546875" style="956" customWidth="1"/>
    <col min="257" max="257" width="12.42578125" style="956" customWidth="1"/>
    <col min="258" max="263" width="12.7109375" style="956" customWidth="1"/>
    <col min="264" max="264" width="13" style="956" customWidth="1"/>
    <col min="265" max="266" width="12.7109375" style="956" customWidth="1"/>
    <col min="267" max="267" width="9.140625" style="956"/>
    <col min="268" max="268" width="11.140625" style="956" bestFit="1" customWidth="1"/>
    <col min="269" max="507" width="9.140625" style="956"/>
    <col min="508" max="508" width="4" style="956" customWidth="1"/>
    <col min="509" max="509" width="30.7109375" style="956" customWidth="1"/>
    <col min="510" max="511" width="10" style="956" customWidth="1"/>
    <col min="512" max="512" width="9.85546875" style="956" customWidth="1"/>
    <col min="513" max="513" width="12.42578125" style="956" customWidth="1"/>
    <col min="514" max="519" width="12.7109375" style="956" customWidth="1"/>
    <col min="520" max="520" width="13" style="956" customWidth="1"/>
    <col min="521" max="522" width="12.7109375" style="956" customWidth="1"/>
    <col min="523" max="523" width="9.140625" style="956"/>
    <col min="524" max="524" width="11.140625" style="956" bestFit="1" customWidth="1"/>
    <col min="525" max="763" width="9.140625" style="956"/>
    <col min="764" max="764" width="4" style="956" customWidth="1"/>
    <col min="765" max="765" width="30.7109375" style="956" customWidth="1"/>
    <col min="766" max="767" width="10" style="956" customWidth="1"/>
    <col min="768" max="768" width="9.85546875" style="956" customWidth="1"/>
    <col min="769" max="769" width="12.42578125" style="956" customWidth="1"/>
    <col min="770" max="775" width="12.7109375" style="956" customWidth="1"/>
    <col min="776" max="776" width="13" style="956" customWidth="1"/>
    <col min="777" max="778" width="12.7109375" style="956" customWidth="1"/>
    <col min="779" max="779" width="9.140625" style="956"/>
    <col min="780" max="780" width="11.140625" style="956" bestFit="1" customWidth="1"/>
    <col min="781" max="1019" width="9.140625" style="956"/>
    <col min="1020" max="1020" width="4" style="956" customWidth="1"/>
    <col min="1021" max="1021" width="30.7109375" style="956" customWidth="1"/>
    <col min="1022" max="1023" width="10" style="956" customWidth="1"/>
    <col min="1024" max="1024" width="9.85546875" style="956" customWidth="1"/>
    <col min="1025" max="1025" width="12.42578125" style="956" customWidth="1"/>
    <col min="1026" max="1031" width="12.7109375" style="956" customWidth="1"/>
    <col min="1032" max="1032" width="13" style="956" customWidth="1"/>
    <col min="1033" max="1034" width="12.7109375" style="956" customWidth="1"/>
    <col min="1035" max="1035" width="9.140625" style="956"/>
    <col min="1036" max="1036" width="11.140625" style="956" bestFit="1" customWidth="1"/>
    <col min="1037" max="1275" width="9.140625" style="956"/>
    <col min="1276" max="1276" width="4" style="956" customWidth="1"/>
    <col min="1277" max="1277" width="30.7109375" style="956" customWidth="1"/>
    <col min="1278" max="1279" width="10" style="956" customWidth="1"/>
    <col min="1280" max="1280" width="9.85546875" style="956" customWidth="1"/>
    <col min="1281" max="1281" width="12.42578125" style="956" customWidth="1"/>
    <col min="1282" max="1287" width="12.7109375" style="956" customWidth="1"/>
    <col min="1288" max="1288" width="13" style="956" customWidth="1"/>
    <col min="1289" max="1290" width="12.7109375" style="956" customWidth="1"/>
    <col min="1291" max="1291" width="9.140625" style="956"/>
    <col min="1292" max="1292" width="11.140625" style="956" bestFit="1" customWidth="1"/>
    <col min="1293" max="1531" width="9.140625" style="956"/>
    <col min="1532" max="1532" width="4" style="956" customWidth="1"/>
    <col min="1533" max="1533" width="30.7109375" style="956" customWidth="1"/>
    <col min="1534" max="1535" width="10" style="956" customWidth="1"/>
    <col min="1536" max="1536" width="9.85546875" style="956" customWidth="1"/>
    <col min="1537" max="1537" width="12.42578125" style="956" customWidth="1"/>
    <col min="1538" max="1543" width="12.7109375" style="956" customWidth="1"/>
    <col min="1544" max="1544" width="13" style="956" customWidth="1"/>
    <col min="1545" max="1546" width="12.7109375" style="956" customWidth="1"/>
    <col min="1547" max="1547" width="9.140625" style="956"/>
    <col min="1548" max="1548" width="11.140625" style="956" bestFit="1" customWidth="1"/>
    <col min="1549" max="1787" width="9.140625" style="956"/>
    <col min="1788" max="1788" width="4" style="956" customWidth="1"/>
    <col min="1789" max="1789" width="30.7109375" style="956" customWidth="1"/>
    <col min="1790" max="1791" width="10" style="956" customWidth="1"/>
    <col min="1792" max="1792" width="9.85546875" style="956" customWidth="1"/>
    <col min="1793" max="1793" width="12.42578125" style="956" customWidth="1"/>
    <col min="1794" max="1799" width="12.7109375" style="956" customWidth="1"/>
    <col min="1800" max="1800" width="13" style="956" customWidth="1"/>
    <col min="1801" max="1802" width="12.7109375" style="956" customWidth="1"/>
    <col min="1803" max="1803" width="9.140625" style="956"/>
    <col min="1804" max="1804" width="11.140625" style="956" bestFit="1" customWidth="1"/>
    <col min="1805" max="2043" width="9.140625" style="956"/>
    <col min="2044" max="2044" width="4" style="956" customWidth="1"/>
    <col min="2045" max="2045" width="30.7109375" style="956" customWidth="1"/>
    <col min="2046" max="2047" width="10" style="956" customWidth="1"/>
    <col min="2048" max="2048" width="9.85546875" style="956" customWidth="1"/>
    <col min="2049" max="2049" width="12.42578125" style="956" customWidth="1"/>
    <col min="2050" max="2055" width="12.7109375" style="956" customWidth="1"/>
    <col min="2056" max="2056" width="13" style="956" customWidth="1"/>
    <col min="2057" max="2058" width="12.7109375" style="956" customWidth="1"/>
    <col min="2059" max="2059" width="9.140625" style="956"/>
    <col min="2060" max="2060" width="11.140625" style="956" bestFit="1" customWidth="1"/>
    <col min="2061" max="2299" width="9.140625" style="956"/>
    <col min="2300" max="2300" width="4" style="956" customWidth="1"/>
    <col min="2301" max="2301" width="30.7109375" style="956" customWidth="1"/>
    <col min="2302" max="2303" width="10" style="956" customWidth="1"/>
    <col min="2304" max="2304" width="9.85546875" style="956" customWidth="1"/>
    <col min="2305" max="2305" width="12.42578125" style="956" customWidth="1"/>
    <col min="2306" max="2311" width="12.7109375" style="956" customWidth="1"/>
    <col min="2312" max="2312" width="13" style="956" customWidth="1"/>
    <col min="2313" max="2314" width="12.7109375" style="956" customWidth="1"/>
    <col min="2315" max="2315" width="9.140625" style="956"/>
    <col min="2316" max="2316" width="11.140625" style="956" bestFit="1" customWidth="1"/>
    <col min="2317" max="2555" width="9.140625" style="956"/>
    <col min="2556" max="2556" width="4" style="956" customWidth="1"/>
    <col min="2557" max="2557" width="30.7109375" style="956" customWidth="1"/>
    <col min="2558" max="2559" width="10" style="956" customWidth="1"/>
    <col min="2560" max="2560" width="9.85546875" style="956" customWidth="1"/>
    <col min="2561" max="2561" width="12.42578125" style="956" customWidth="1"/>
    <col min="2562" max="2567" width="12.7109375" style="956" customWidth="1"/>
    <col min="2568" max="2568" width="13" style="956" customWidth="1"/>
    <col min="2569" max="2570" width="12.7109375" style="956" customWidth="1"/>
    <col min="2571" max="2571" width="9.140625" style="956"/>
    <col min="2572" max="2572" width="11.140625" style="956" bestFit="1" customWidth="1"/>
    <col min="2573" max="2811" width="9.140625" style="956"/>
    <col min="2812" max="2812" width="4" style="956" customWidth="1"/>
    <col min="2813" max="2813" width="30.7109375" style="956" customWidth="1"/>
    <col min="2814" max="2815" width="10" style="956" customWidth="1"/>
    <col min="2816" max="2816" width="9.85546875" style="956" customWidth="1"/>
    <col min="2817" max="2817" width="12.42578125" style="956" customWidth="1"/>
    <col min="2818" max="2823" width="12.7109375" style="956" customWidth="1"/>
    <col min="2824" max="2824" width="13" style="956" customWidth="1"/>
    <col min="2825" max="2826" width="12.7109375" style="956" customWidth="1"/>
    <col min="2827" max="2827" width="9.140625" style="956"/>
    <col min="2828" max="2828" width="11.140625" style="956" bestFit="1" customWidth="1"/>
    <col min="2829" max="3067" width="9.140625" style="956"/>
    <col min="3068" max="3068" width="4" style="956" customWidth="1"/>
    <col min="3069" max="3069" width="30.7109375" style="956" customWidth="1"/>
    <col min="3070" max="3071" width="10" style="956" customWidth="1"/>
    <col min="3072" max="3072" width="9.85546875" style="956" customWidth="1"/>
    <col min="3073" max="3073" width="12.42578125" style="956" customWidth="1"/>
    <col min="3074" max="3079" width="12.7109375" style="956" customWidth="1"/>
    <col min="3080" max="3080" width="13" style="956" customWidth="1"/>
    <col min="3081" max="3082" width="12.7109375" style="956" customWidth="1"/>
    <col min="3083" max="3083" width="9.140625" style="956"/>
    <col min="3084" max="3084" width="11.140625" style="956" bestFit="1" customWidth="1"/>
    <col min="3085" max="3323" width="9.140625" style="956"/>
    <col min="3324" max="3324" width="4" style="956" customWidth="1"/>
    <col min="3325" max="3325" width="30.7109375" style="956" customWidth="1"/>
    <col min="3326" max="3327" width="10" style="956" customWidth="1"/>
    <col min="3328" max="3328" width="9.85546875" style="956" customWidth="1"/>
    <col min="3329" max="3329" width="12.42578125" style="956" customWidth="1"/>
    <col min="3330" max="3335" width="12.7109375" style="956" customWidth="1"/>
    <col min="3336" max="3336" width="13" style="956" customWidth="1"/>
    <col min="3337" max="3338" width="12.7109375" style="956" customWidth="1"/>
    <col min="3339" max="3339" width="9.140625" style="956"/>
    <col min="3340" max="3340" width="11.140625" style="956" bestFit="1" customWidth="1"/>
    <col min="3341" max="3579" width="9.140625" style="956"/>
    <col min="3580" max="3580" width="4" style="956" customWidth="1"/>
    <col min="3581" max="3581" width="30.7109375" style="956" customWidth="1"/>
    <col min="3582" max="3583" width="10" style="956" customWidth="1"/>
    <col min="3584" max="3584" width="9.85546875" style="956" customWidth="1"/>
    <col min="3585" max="3585" width="12.42578125" style="956" customWidth="1"/>
    <col min="3586" max="3591" width="12.7109375" style="956" customWidth="1"/>
    <col min="3592" max="3592" width="13" style="956" customWidth="1"/>
    <col min="3593" max="3594" width="12.7109375" style="956" customWidth="1"/>
    <col min="3595" max="3595" width="9.140625" style="956"/>
    <col min="3596" max="3596" width="11.140625" style="956" bestFit="1" customWidth="1"/>
    <col min="3597" max="3835" width="9.140625" style="956"/>
    <col min="3836" max="3836" width="4" style="956" customWidth="1"/>
    <col min="3837" max="3837" width="30.7109375" style="956" customWidth="1"/>
    <col min="3838" max="3839" width="10" style="956" customWidth="1"/>
    <col min="3840" max="3840" width="9.85546875" style="956" customWidth="1"/>
    <col min="3841" max="3841" width="12.42578125" style="956" customWidth="1"/>
    <col min="3842" max="3847" width="12.7109375" style="956" customWidth="1"/>
    <col min="3848" max="3848" width="13" style="956" customWidth="1"/>
    <col min="3849" max="3850" width="12.7109375" style="956" customWidth="1"/>
    <col min="3851" max="3851" width="9.140625" style="956"/>
    <col min="3852" max="3852" width="11.140625" style="956" bestFit="1" customWidth="1"/>
    <col min="3853" max="4091" width="9.140625" style="956"/>
    <col min="4092" max="4092" width="4" style="956" customWidth="1"/>
    <col min="4093" max="4093" width="30.7109375" style="956" customWidth="1"/>
    <col min="4094" max="4095" width="10" style="956" customWidth="1"/>
    <col min="4096" max="4096" width="9.85546875" style="956" customWidth="1"/>
    <col min="4097" max="4097" width="12.42578125" style="956" customWidth="1"/>
    <col min="4098" max="4103" width="12.7109375" style="956" customWidth="1"/>
    <col min="4104" max="4104" width="13" style="956" customWidth="1"/>
    <col min="4105" max="4106" width="12.7109375" style="956" customWidth="1"/>
    <col min="4107" max="4107" width="9.140625" style="956"/>
    <col min="4108" max="4108" width="11.140625" style="956" bestFit="1" customWidth="1"/>
    <col min="4109" max="4347" width="9.140625" style="956"/>
    <col min="4348" max="4348" width="4" style="956" customWidth="1"/>
    <col min="4349" max="4349" width="30.7109375" style="956" customWidth="1"/>
    <col min="4350" max="4351" width="10" style="956" customWidth="1"/>
    <col min="4352" max="4352" width="9.85546875" style="956" customWidth="1"/>
    <col min="4353" max="4353" width="12.42578125" style="956" customWidth="1"/>
    <col min="4354" max="4359" width="12.7109375" style="956" customWidth="1"/>
    <col min="4360" max="4360" width="13" style="956" customWidth="1"/>
    <col min="4361" max="4362" width="12.7109375" style="956" customWidth="1"/>
    <col min="4363" max="4363" width="9.140625" style="956"/>
    <col min="4364" max="4364" width="11.140625" style="956" bestFit="1" customWidth="1"/>
    <col min="4365" max="4603" width="9.140625" style="956"/>
    <col min="4604" max="4604" width="4" style="956" customWidth="1"/>
    <col min="4605" max="4605" width="30.7109375" style="956" customWidth="1"/>
    <col min="4606" max="4607" width="10" style="956" customWidth="1"/>
    <col min="4608" max="4608" width="9.85546875" style="956" customWidth="1"/>
    <col min="4609" max="4609" width="12.42578125" style="956" customWidth="1"/>
    <col min="4610" max="4615" width="12.7109375" style="956" customWidth="1"/>
    <col min="4616" max="4616" width="13" style="956" customWidth="1"/>
    <col min="4617" max="4618" width="12.7109375" style="956" customWidth="1"/>
    <col min="4619" max="4619" width="9.140625" style="956"/>
    <col min="4620" max="4620" width="11.140625" style="956" bestFit="1" customWidth="1"/>
    <col min="4621" max="4859" width="9.140625" style="956"/>
    <col min="4860" max="4860" width="4" style="956" customWidth="1"/>
    <col min="4861" max="4861" width="30.7109375" style="956" customWidth="1"/>
    <col min="4862" max="4863" width="10" style="956" customWidth="1"/>
    <col min="4864" max="4864" width="9.85546875" style="956" customWidth="1"/>
    <col min="4865" max="4865" width="12.42578125" style="956" customWidth="1"/>
    <col min="4866" max="4871" width="12.7109375" style="956" customWidth="1"/>
    <col min="4872" max="4872" width="13" style="956" customWidth="1"/>
    <col min="4873" max="4874" width="12.7109375" style="956" customWidth="1"/>
    <col min="4875" max="4875" width="9.140625" style="956"/>
    <col min="4876" max="4876" width="11.140625" style="956" bestFit="1" customWidth="1"/>
    <col min="4877" max="5115" width="9.140625" style="956"/>
    <col min="5116" max="5116" width="4" style="956" customWidth="1"/>
    <col min="5117" max="5117" width="30.7109375" style="956" customWidth="1"/>
    <col min="5118" max="5119" width="10" style="956" customWidth="1"/>
    <col min="5120" max="5120" width="9.85546875" style="956" customWidth="1"/>
    <col min="5121" max="5121" width="12.42578125" style="956" customWidth="1"/>
    <col min="5122" max="5127" width="12.7109375" style="956" customWidth="1"/>
    <col min="5128" max="5128" width="13" style="956" customWidth="1"/>
    <col min="5129" max="5130" width="12.7109375" style="956" customWidth="1"/>
    <col min="5131" max="5131" width="9.140625" style="956"/>
    <col min="5132" max="5132" width="11.140625" style="956" bestFit="1" customWidth="1"/>
    <col min="5133" max="5371" width="9.140625" style="956"/>
    <col min="5372" max="5372" width="4" style="956" customWidth="1"/>
    <col min="5373" max="5373" width="30.7109375" style="956" customWidth="1"/>
    <col min="5374" max="5375" width="10" style="956" customWidth="1"/>
    <col min="5376" max="5376" width="9.85546875" style="956" customWidth="1"/>
    <col min="5377" max="5377" width="12.42578125" style="956" customWidth="1"/>
    <col min="5378" max="5383" width="12.7109375" style="956" customWidth="1"/>
    <col min="5384" max="5384" width="13" style="956" customWidth="1"/>
    <col min="5385" max="5386" width="12.7109375" style="956" customWidth="1"/>
    <col min="5387" max="5387" width="9.140625" style="956"/>
    <col min="5388" max="5388" width="11.140625" style="956" bestFit="1" customWidth="1"/>
    <col min="5389" max="5627" width="9.140625" style="956"/>
    <col min="5628" max="5628" width="4" style="956" customWidth="1"/>
    <col min="5629" max="5629" width="30.7109375" style="956" customWidth="1"/>
    <col min="5630" max="5631" width="10" style="956" customWidth="1"/>
    <col min="5632" max="5632" width="9.85546875" style="956" customWidth="1"/>
    <col min="5633" max="5633" width="12.42578125" style="956" customWidth="1"/>
    <col min="5634" max="5639" width="12.7109375" style="956" customWidth="1"/>
    <col min="5640" max="5640" width="13" style="956" customWidth="1"/>
    <col min="5641" max="5642" width="12.7109375" style="956" customWidth="1"/>
    <col min="5643" max="5643" width="9.140625" style="956"/>
    <col min="5644" max="5644" width="11.140625" style="956" bestFit="1" customWidth="1"/>
    <col min="5645" max="5883" width="9.140625" style="956"/>
    <col min="5884" max="5884" width="4" style="956" customWidth="1"/>
    <col min="5885" max="5885" width="30.7109375" style="956" customWidth="1"/>
    <col min="5886" max="5887" width="10" style="956" customWidth="1"/>
    <col min="5888" max="5888" width="9.85546875" style="956" customWidth="1"/>
    <col min="5889" max="5889" width="12.42578125" style="956" customWidth="1"/>
    <col min="5890" max="5895" width="12.7109375" style="956" customWidth="1"/>
    <col min="5896" max="5896" width="13" style="956" customWidth="1"/>
    <col min="5897" max="5898" width="12.7109375" style="956" customWidth="1"/>
    <col min="5899" max="5899" width="9.140625" style="956"/>
    <col min="5900" max="5900" width="11.140625" style="956" bestFit="1" customWidth="1"/>
    <col min="5901" max="6139" width="9.140625" style="956"/>
    <col min="6140" max="6140" width="4" style="956" customWidth="1"/>
    <col min="6141" max="6141" width="30.7109375" style="956" customWidth="1"/>
    <col min="6142" max="6143" width="10" style="956" customWidth="1"/>
    <col min="6144" max="6144" width="9.85546875" style="956" customWidth="1"/>
    <col min="6145" max="6145" width="12.42578125" style="956" customWidth="1"/>
    <col min="6146" max="6151" width="12.7109375" style="956" customWidth="1"/>
    <col min="6152" max="6152" width="13" style="956" customWidth="1"/>
    <col min="6153" max="6154" width="12.7109375" style="956" customWidth="1"/>
    <col min="6155" max="6155" width="9.140625" style="956"/>
    <col min="6156" max="6156" width="11.140625" style="956" bestFit="1" customWidth="1"/>
    <col min="6157" max="6395" width="9.140625" style="956"/>
    <col min="6396" max="6396" width="4" style="956" customWidth="1"/>
    <col min="6397" max="6397" width="30.7109375" style="956" customWidth="1"/>
    <col min="6398" max="6399" width="10" style="956" customWidth="1"/>
    <col min="6400" max="6400" width="9.85546875" style="956" customWidth="1"/>
    <col min="6401" max="6401" width="12.42578125" style="956" customWidth="1"/>
    <col min="6402" max="6407" width="12.7109375" style="956" customWidth="1"/>
    <col min="6408" max="6408" width="13" style="956" customWidth="1"/>
    <col min="6409" max="6410" width="12.7109375" style="956" customWidth="1"/>
    <col min="6411" max="6411" width="9.140625" style="956"/>
    <col min="6412" max="6412" width="11.140625" style="956" bestFit="1" customWidth="1"/>
    <col min="6413" max="6651" width="9.140625" style="956"/>
    <col min="6652" max="6652" width="4" style="956" customWidth="1"/>
    <col min="6653" max="6653" width="30.7109375" style="956" customWidth="1"/>
    <col min="6654" max="6655" width="10" style="956" customWidth="1"/>
    <col min="6656" max="6656" width="9.85546875" style="956" customWidth="1"/>
    <col min="6657" max="6657" width="12.42578125" style="956" customWidth="1"/>
    <col min="6658" max="6663" width="12.7109375" style="956" customWidth="1"/>
    <col min="6664" max="6664" width="13" style="956" customWidth="1"/>
    <col min="6665" max="6666" width="12.7109375" style="956" customWidth="1"/>
    <col min="6667" max="6667" width="9.140625" style="956"/>
    <col min="6668" max="6668" width="11.140625" style="956" bestFit="1" customWidth="1"/>
    <col min="6669" max="6907" width="9.140625" style="956"/>
    <col min="6908" max="6908" width="4" style="956" customWidth="1"/>
    <col min="6909" max="6909" width="30.7109375" style="956" customWidth="1"/>
    <col min="6910" max="6911" width="10" style="956" customWidth="1"/>
    <col min="6912" max="6912" width="9.85546875" style="956" customWidth="1"/>
    <col min="6913" max="6913" width="12.42578125" style="956" customWidth="1"/>
    <col min="6914" max="6919" width="12.7109375" style="956" customWidth="1"/>
    <col min="6920" max="6920" width="13" style="956" customWidth="1"/>
    <col min="6921" max="6922" width="12.7109375" style="956" customWidth="1"/>
    <col min="6923" max="6923" width="9.140625" style="956"/>
    <col min="6924" max="6924" width="11.140625" style="956" bestFit="1" customWidth="1"/>
    <col min="6925" max="7163" width="9.140625" style="956"/>
    <col min="7164" max="7164" width="4" style="956" customWidth="1"/>
    <col min="7165" max="7165" width="30.7109375" style="956" customWidth="1"/>
    <col min="7166" max="7167" width="10" style="956" customWidth="1"/>
    <col min="7168" max="7168" width="9.85546875" style="956" customWidth="1"/>
    <col min="7169" max="7169" width="12.42578125" style="956" customWidth="1"/>
    <col min="7170" max="7175" width="12.7109375" style="956" customWidth="1"/>
    <col min="7176" max="7176" width="13" style="956" customWidth="1"/>
    <col min="7177" max="7178" width="12.7109375" style="956" customWidth="1"/>
    <col min="7179" max="7179" width="9.140625" style="956"/>
    <col min="7180" max="7180" width="11.140625" style="956" bestFit="1" customWidth="1"/>
    <col min="7181" max="7419" width="9.140625" style="956"/>
    <col min="7420" max="7420" width="4" style="956" customWidth="1"/>
    <col min="7421" max="7421" width="30.7109375" style="956" customWidth="1"/>
    <col min="7422" max="7423" width="10" style="956" customWidth="1"/>
    <col min="7424" max="7424" width="9.85546875" style="956" customWidth="1"/>
    <col min="7425" max="7425" width="12.42578125" style="956" customWidth="1"/>
    <col min="7426" max="7431" width="12.7109375" style="956" customWidth="1"/>
    <col min="7432" max="7432" width="13" style="956" customWidth="1"/>
    <col min="7433" max="7434" width="12.7109375" style="956" customWidth="1"/>
    <col min="7435" max="7435" width="9.140625" style="956"/>
    <col min="7436" max="7436" width="11.140625" style="956" bestFit="1" customWidth="1"/>
    <col min="7437" max="7675" width="9.140625" style="956"/>
    <col min="7676" max="7676" width="4" style="956" customWidth="1"/>
    <col min="7677" max="7677" width="30.7109375" style="956" customWidth="1"/>
    <col min="7678" max="7679" width="10" style="956" customWidth="1"/>
    <col min="7680" max="7680" width="9.85546875" style="956" customWidth="1"/>
    <col min="7681" max="7681" width="12.42578125" style="956" customWidth="1"/>
    <col min="7682" max="7687" width="12.7109375" style="956" customWidth="1"/>
    <col min="7688" max="7688" width="13" style="956" customWidth="1"/>
    <col min="7689" max="7690" width="12.7109375" style="956" customWidth="1"/>
    <col min="7691" max="7691" width="9.140625" style="956"/>
    <col min="7692" max="7692" width="11.140625" style="956" bestFit="1" customWidth="1"/>
    <col min="7693" max="7931" width="9.140625" style="956"/>
    <col min="7932" max="7932" width="4" style="956" customWidth="1"/>
    <col min="7933" max="7933" width="30.7109375" style="956" customWidth="1"/>
    <col min="7934" max="7935" width="10" style="956" customWidth="1"/>
    <col min="7936" max="7936" width="9.85546875" style="956" customWidth="1"/>
    <col min="7937" max="7937" width="12.42578125" style="956" customWidth="1"/>
    <col min="7938" max="7943" width="12.7109375" style="956" customWidth="1"/>
    <col min="7944" max="7944" width="13" style="956" customWidth="1"/>
    <col min="7945" max="7946" width="12.7109375" style="956" customWidth="1"/>
    <col min="7947" max="7947" width="9.140625" style="956"/>
    <col min="7948" max="7948" width="11.140625" style="956" bestFit="1" customWidth="1"/>
    <col min="7949" max="8187" width="9.140625" style="956"/>
    <col min="8188" max="8188" width="4" style="956" customWidth="1"/>
    <col min="8189" max="8189" width="30.7109375" style="956" customWidth="1"/>
    <col min="8190" max="8191" width="10" style="956" customWidth="1"/>
    <col min="8192" max="8192" width="9.85546875" style="956" customWidth="1"/>
    <col min="8193" max="8193" width="12.42578125" style="956" customWidth="1"/>
    <col min="8194" max="8199" width="12.7109375" style="956" customWidth="1"/>
    <col min="8200" max="8200" width="13" style="956" customWidth="1"/>
    <col min="8201" max="8202" width="12.7109375" style="956" customWidth="1"/>
    <col min="8203" max="8203" width="9.140625" style="956"/>
    <col min="8204" max="8204" width="11.140625" style="956" bestFit="1" customWidth="1"/>
    <col min="8205" max="8443" width="9.140625" style="956"/>
    <col min="8444" max="8444" width="4" style="956" customWidth="1"/>
    <col min="8445" max="8445" width="30.7109375" style="956" customWidth="1"/>
    <col min="8446" max="8447" width="10" style="956" customWidth="1"/>
    <col min="8448" max="8448" width="9.85546875" style="956" customWidth="1"/>
    <col min="8449" max="8449" width="12.42578125" style="956" customWidth="1"/>
    <col min="8450" max="8455" width="12.7109375" style="956" customWidth="1"/>
    <col min="8456" max="8456" width="13" style="956" customWidth="1"/>
    <col min="8457" max="8458" width="12.7109375" style="956" customWidth="1"/>
    <col min="8459" max="8459" width="9.140625" style="956"/>
    <col min="8460" max="8460" width="11.140625" style="956" bestFit="1" customWidth="1"/>
    <col min="8461" max="8699" width="9.140625" style="956"/>
    <col min="8700" max="8700" width="4" style="956" customWidth="1"/>
    <col min="8701" max="8701" width="30.7109375" style="956" customWidth="1"/>
    <col min="8702" max="8703" width="10" style="956" customWidth="1"/>
    <col min="8704" max="8704" width="9.85546875" style="956" customWidth="1"/>
    <col min="8705" max="8705" width="12.42578125" style="956" customWidth="1"/>
    <col min="8706" max="8711" width="12.7109375" style="956" customWidth="1"/>
    <col min="8712" max="8712" width="13" style="956" customWidth="1"/>
    <col min="8713" max="8714" width="12.7109375" style="956" customWidth="1"/>
    <col min="8715" max="8715" width="9.140625" style="956"/>
    <col min="8716" max="8716" width="11.140625" style="956" bestFit="1" customWidth="1"/>
    <col min="8717" max="8955" width="9.140625" style="956"/>
    <col min="8956" max="8956" width="4" style="956" customWidth="1"/>
    <col min="8957" max="8957" width="30.7109375" style="956" customWidth="1"/>
    <col min="8958" max="8959" width="10" style="956" customWidth="1"/>
    <col min="8960" max="8960" width="9.85546875" style="956" customWidth="1"/>
    <col min="8961" max="8961" width="12.42578125" style="956" customWidth="1"/>
    <col min="8962" max="8967" width="12.7109375" style="956" customWidth="1"/>
    <col min="8968" max="8968" width="13" style="956" customWidth="1"/>
    <col min="8969" max="8970" width="12.7109375" style="956" customWidth="1"/>
    <col min="8971" max="8971" width="9.140625" style="956"/>
    <col min="8972" max="8972" width="11.140625" style="956" bestFit="1" customWidth="1"/>
    <col min="8973" max="9211" width="9.140625" style="956"/>
    <col min="9212" max="9212" width="4" style="956" customWidth="1"/>
    <col min="9213" max="9213" width="30.7109375" style="956" customWidth="1"/>
    <col min="9214" max="9215" width="10" style="956" customWidth="1"/>
    <col min="9216" max="9216" width="9.85546875" style="956" customWidth="1"/>
    <col min="9217" max="9217" width="12.42578125" style="956" customWidth="1"/>
    <col min="9218" max="9223" width="12.7109375" style="956" customWidth="1"/>
    <col min="9224" max="9224" width="13" style="956" customWidth="1"/>
    <col min="9225" max="9226" width="12.7109375" style="956" customWidth="1"/>
    <col min="9227" max="9227" width="9.140625" style="956"/>
    <col min="9228" max="9228" width="11.140625" style="956" bestFit="1" customWidth="1"/>
    <col min="9229" max="9467" width="9.140625" style="956"/>
    <col min="9468" max="9468" width="4" style="956" customWidth="1"/>
    <col min="9469" max="9469" width="30.7109375" style="956" customWidth="1"/>
    <col min="9470" max="9471" width="10" style="956" customWidth="1"/>
    <col min="9472" max="9472" width="9.85546875" style="956" customWidth="1"/>
    <col min="9473" max="9473" width="12.42578125" style="956" customWidth="1"/>
    <col min="9474" max="9479" width="12.7109375" style="956" customWidth="1"/>
    <col min="9480" max="9480" width="13" style="956" customWidth="1"/>
    <col min="9481" max="9482" width="12.7109375" style="956" customWidth="1"/>
    <col min="9483" max="9483" width="9.140625" style="956"/>
    <col min="9484" max="9484" width="11.140625" style="956" bestFit="1" customWidth="1"/>
    <col min="9485" max="9723" width="9.140625" style="956"/>
    <col min="9724" max="9724" width="4" style="956" customWidth="1"/>
    <col min="9725" max="9725" width="30.7109375" style="956" customWidth="1"/>
    <col min="9726" max="9727" width="10" style="956" customWidth="1"/>
    <col min="9728" max="9728" width="9.85546875" style="956" customWidth="1"/>
    <col min="9729" max="9729" width="12.42578125" style="956" customWidth="1"/>
    <col min="9730" max="9735" width="12.7109375" style="956" customWidth="1"/>
    <col min="9736" max="9736" width="13" style="956" customWidth="1"/>
    <col min="9737" max="9738" width="12.7109375" style="956" customWidth="1"/>
    <col min="9739" max="9739" width="9.140625" style="956"/>
    <col min="9740" max="9740" width="11.140625" style="956" bestFit="1" customWidth="1"/>
    <col min="9741" max="9979" width="9.140625" style="956"/>
    <col min="9980" max="9980" width="4" style="956" customWidth="1"/>
    <col min="9981" max="9981" width="30.7109375" style="956" customWidth="1"/>
    <col min="9982" max="9983" width="10" style="956" customWidth="1"/>
    <col min="9984" max="9984" width="9.85546875" style="956" customWidth="1"/>
    <col min="9985" max="9985" width="12.42578125" style="956" customWidth="1"/>
    <col min="9986" max="9991" width="12.7109375" style="956" customWidth="1"/>
    <col min="9992" max="9992" width="13" style="956" customWidth="1"/>
    <col min="9993" max="9994" width="12.7109375" style="956" customWidth="1"/>
    <col min="9995" max="9995" width="9.140625" style="956"/>
    <col min="9996" max="9996" width="11.140625" style="956" bestFit="1" customWidth="1"/>
    <col min="9997" max="10235" width="9.140625" style="956"/>
    <col min="10236" max="10236" width="4" style="956" customWidth="1"/>
    <col min="10237" max="10237" width="30.7109375" style="956" customWidth="1"/>
    <col min="10238" max="10239" width="10" style="956" customWidth="1"/>
    <col min="10240" max="10240" width="9.85546875" style="956" customWidth="1"/>
    <col min="10241" max="10241" width="12.42578125" style="956" customWidth="1"/>
    <col min="10242" max="10247" width="12.7109375" style="956" customWidth="1"/>
    <col min="10248" max="10248" width="13" style="956" customWidth="1"/>
    <col min="10249" max="10250" width="12.7109375" style="956" customWidth="1"/>
    <col min="10251" max="10251" width="9.140625" style="956"/>
    <col min="10252" max="10252" width="11.140625" style="956" bestFit="1" customWidth="1"/>
    <col min="10253" max="10491" width="9.140625" style="956"/>
    <col min="10492" max="10492" width="4" style="956" customWidth="1"/>
    <col min="10493" max="10493" width="30.7109375" style="956" customWidth="1"/>
    <col min="10494" max="10495" width="10" style="956" customWidth="1"/>
    <col min="10496" max="10496" width="9.85546875" style="956" customWidth="1"/>
    <col min="10497" max="10497" width="12.42578125" style="956" customWidth="1"/>
    <col min="10498" max="10503" width="12.7109375" style="956" customWidth="1"/>
    <col min="10504" max="10504" width="13" style="956" customWidth="1"/>
    <col min="10505" max="10506" width="12.7109375" style="956" customWidth="1"/>
    <col min="10507" max="10507" width="9.140625" style="956"/>
    <col min="10508" max="10508" width="11.140625" style="956" bestFit="1" customWidth="1"/>
    <col min="10509" max="10747" width="9.140625" style="956"/>
    <col min="10748" max="10748" width="4" style="956" customWidth="1"/>
    <col min="10749" max="10749" width="30.7109375" style="956" customWidth="1"/>
    <col min="10750" max="10751" width="10" style="956" customWidth="1"/>
    <col min="10752" max="10752" width="9.85546875" style="956" customWidth="1"/>
    <col min="10753" max="10753" width="12.42578125" style="956" customWidth="1"/>
    <col min="10754" max="10759" width="12.7109375" style="956" customWidth="1"/>
    <col min="10760" max="10760" width="13" style="956" customWidth="1"/>
    <col min="10761" max="10762" width="12.7109375" style="956" customWidth="1"/>
    <col min="10763" max="10763" width="9.140625" style="956"/>
    <col min="10764" max="10764" width="11.140625" style="956" bestFit="1" customWidth="1"/>
    <col min="10765" max="11003" width="9.140625" style="956"/>
    <col min="11004" max="11004" width="4" style="956" customWidth="1"/>
    <col min="11005" max="11005" width="30.7109375" style="956" customWidth="1"/>
    <col min="11006" max="11007" width="10" style="956" customWidth="1"/>
    <col min="11008" max="11008" width="9.85546875" style="956" customWidth="1"/>
    <col min="11009" max="11009" width="12.42578125" style="956" customWidth="1"/>
    <col min="11010" max="11015" width="12.7109375" style="956" customWidth="1"/>
    <col min="11016" max="11016" width="13" style="956" customWidth="1"/>
    <col min="11017" max="11018" width="12.7109375" style="956" customWidth="1"/>
    <col min="11019" max="11019" width="9.140625" style="956"/>
    <col min="11020" max="11020" width="11.140625" style="956" bestFit="1" customWidth="1"/>
    <col min="11021" max="11259" width="9.140625" style="956"/>
    <col min="11260" max="11260" width="4" style="956" customWidth="1"/>
    <col min="11261" max="11261" width="30.7109375" style="956" customWidth="1"/>
    <col min="11262" max="11263" width="10" style="956" customWidth="1"/>
    <col min="11264" max="11264" width="9.85546875" style="956" customWidth="1"/>
    <col min="11265" max="11265" width="12.42578125" style="956" customWidth="1"/>
    <col min="11266" max="11271" width="12.7109375" style="956" customWidth="1"/>
    <col min="11272" max="11272" width="13" style="956" customWidth="1"/>
    <col min="11273" max="11274" width="12.7109375" style="956" customWidth="1"/>
    <col min="11275" max="11275" width="9.140625" style="956"/>
    <col min="11276" max="11276" width="11.140625" style="956" bestFit="1" customWidth="1"/>
    <col min="11277" max="11515" width="9.140625" style="956"/>
    <col min="11516" max="11516" width="4" style="956" customWidth="1"/>
    <col min="11517" max="11517" width="30.7109375" style="956" customWidth="1"/>
    <col min="11518" max="11519" width="10" style="956" customWidth="1"/>
    <col min="11520" max="11520" width="9.85546875" style="956" customWidth="1"/>
    <col min="11521" max="11521" width="12.42578125" style="956" customWidth="1"/>
    <col min="11522" max="11527" width="12.7109375" style="956" customWidth="1"/>
    <col min="11528" max="11528" width="13" style="956" customWidth="1"/>
    <col min="11529" max="11530" width="12.7109375" style="956" customWidth="1"/>
    <col min="11531" max="11531" width="9.140625" style="956"/>
    <col min="11532" max="11532" width="11.140625" style="956" bestFit="1" customWidth="1"/>
    <col min="11533" max="11771" width="9.140625" style="956"/>
    <col min="11772" max="11772" width="4" style="956" customWidth="1"/>
    <col min="11773" max="11773" width="30.7109375" style="956" customWidth="1"/>
    <col min="11774" max="11775" width="10" style="956" customWidth="1"/>
    <col min="11776" max="11776" width="9.85546875" style="956" customWidth="1"/>
    <col min="11777" max="11777" width="12.42578125" style="956" customWidth="1"/>
    <col min="11778" max="11783" width="12.7109375" style="956" customWidth="1"/>
    <col min="11784" max="11784" width="13" style="956" customWidth="1"/>
    <col min="11785" max="11786" width="12.7109375" style="956" customWidth="1"/>
    <col min="11787" max="11787" width="9.140625" style="956"/>
    <col min="11788" max="11788" width="11.140625" style="956" bestFit="1" customWidth="1"/>
    <col min="11789" max="12027" width="9.140625" style="956"/>
    <col min="12028" max="12028" width="4" style="956" customWidth="1"/>
    <col min="12029" max="12029" width="30.7109375" style="956" customWidth="1"/>
    <col min="12030" max="12031" width="10" style="956" customWidth="1"/>
    <col min="12032" max="12032" width="9.85546875" style="956" customWidth="1"/>
    <col min="12033" max="12033" width="12.42578125" style="956" customWidth="1"/>
    <col min="12034" max="12039" width="12.7109375" style="956" customWidth="1"/>
    <col min="12040" max="12040" width="13" style="956" customWidth="1"/>
    <col min="12041" max="12042" width="12.7109375" style="956" customWidth="1"/>
    <col min="12043" max="12043" width="9.140625" style="956"/>
    <col min="12044" max="12044" width="11.140625" style="956" bestFit="1" customWidth="1"/>
    <col min="12045" max="12283" width="9.140625" style="956"/>
    <col min="12284" max="12284" width="4" style="956" customWidth="1"/>
    <col min="12285" max="12285" width="30.7109375" style="956" customWidth="1"/>
    <col min="12286" max="12287" width="10" style="956" customWidth="1"/>
    <col min="12288" max="12288" width="9.85546875" style="956" customWidth="1"/>
    <col min="12289" max="12289" width="12.42578125" style="956" customWidth="1"/>
    <col min="12290" max="12295" width="12.7109375" style="956" customWidth="1"/>
    <col min="12296" max="12296" width="13" style="956" customWidth="1"/>
    <col min="12297" max="12298" width="12.7109375" style="956" customWidth="1"/>
    <col min="12299" max="12299" width="9.140625" style="956"/>
    <col min="12300" max="12300" width="11.140625" style="956" bestFit="1" customWidth="1"/>
    <col min="12301" max="12539" width="9.140625" style="956"/>
    <col min="12540" max="12540" width="4" style="956" customWidth="1"/>
    <col min="12541" max="12541" width="30.7109375" style="956" customWidth="1"/>
    <col min="12542" max="12543" width="10" style="956" customWidth="1"/>
    <col min="12544" max="12544" width="9.85546875" style="956" customWidth="1"/>
    <col min="12545" max="12545" width="12.42578125" style="956" customWidth="1"/>
    <col min="12546" max="12551" width="12.7109375" style="956" customWidth="1"/>
    <col min="12552" max="12552" width="13" style="956" customWidth="1"/>
    <col min="12553" max="12554" width="12.7109375" style="956" customWidth="1"/>
    <col min="12555" max="12555" width="9.140625" style="956"/>
    <col min="12556" max="12556" width="11.140625" style="956" bestFit="1" customWidth="1"/>
    <col min="12557" max="12795" width="9.140625" style="956"/>
    <col min="12796" max="12796" width="4" style="956" customWidth="1"/>
    <col min="12797" max="12797" width="30.7109375" style="956" customWidth="1"/>
    <col min="12798" max="12799" width="10" style="956" customWidth="1"/>
    <col min="12800" max="12800" width="9.85546875" style="956" customWidth="1"/>
    <col min="12801" max="12801" width="12.42578125" style="956" customWidth="1"/>
    <col min="12802" max="12807" width="12.7109375" style="956" customWidth="1"/>
    <col min="12808" max="12808" width="13" style="956" customWidth="1"/>
    <col min="12809" max="12810" width="12.7109375" style="956" customWidth="1"/>
    <col min="12811" max="12811" width="9.140625" style="956"/>
    <col min="12812" max="12812" width="11.140625" style="956" bestFit="1" customWidth="1"/>
    <col min="12813" max="13051" width="9.140625" style="956"/>
    <col min="13052" max="13052" width="4" style="956" customWidth="1"/>
    <col min="13053" max="13053" width="30.7109375" style="956" customWidth="1"/>
    <col min="13054" max="13055" width="10" style="956" customWidth="1"/>
    <col min="13056" max="13056" width="9.85546875" style="956" customWidth="1"/>
    <col min="13057" max="13057" width="12.42578125" style="956" customWidth="1"/>
    <col min="13058" max="13063" width="12.7109375" style="956" customWidth="1"/>
    <col min="13064" max="13064" width="13" style="956" customWidth="1"/>
    <col min="13065" max="13066" width="12.7109375" style="956" customWidth="1"/>
    <col min="13067" max="13067" width="9.140625" style="956"/>
    <col min="13068" max="13068" width="11.140625" style="956" bestFit="1" customWidth="1"/>
    <col min="13069" max="13307" width="9.140625" style="956"/>
    <col min="13308" max="13308" width="4" style="956" customWidth="1"/>
    <col min="13309" max="13309" width="30.7109375" style="956" customWidth="1"/>
    <col min="13310" max="13311" width="10" style="956" customWidth="1"/>
    <col min="13312" max="13312" width="9.85546875" style="956" customWidth="1"/>
    <col min="13313" max="13313" width="12.42578125" style="956" customWidth="1"/>
    <col min="13314" max="13319" width="12.7109375" style="956" customWidth="1"/>
    <col min="13320" max="13320" width="13" style="956" customWidth="1"/>
    <col min="13321" max="13322" width="12.7109375" style="956" customWidth="1"/>
    <col min="13323" max="13323" width="9.140625" style="956"/>
    <col min="13324" max="13324" width="11.140625" style="956" bestFit="1" customWidth="1"/>
    <col min="13325" max="13563" width="9.140625" style="956"/>
    <col min="13564" max="13564" width="4" style="956" customWidth="1"/>
    <col min="13565" max="13565" width="30.7109375" style="956" customWidth="1"/>
    <col min="13566" max="13567" width="10" style="956" customWidth="1"/>
    <col min="13568" max="13568" width="9.85546875" style="956" customWidth="1"/>
    <col min="13569" max="13569" width="12.42578125" style="956" customWidth="1"/>
    <col min="13570" max="13575" width="12.7109375" style="956" customWidth="1"/>
    <col min="13576" max="13576" width="13" style="956" customWidth="1"/>
    <col min="13577" max="13578" width="12.7109375" style="956" customWidth="1"/>
    <col min="13579" max="13579" width="9.140625" style="956"/>
    <col min="13580" max="13580" width="11.140625" style="956" bestFit="1" customWidth="1"/>
    <col min="13581" max="13819" width="9.140625" style="956"/>
    <col min="13820" max="13820" width="4" style="956" customWidth="1"/>
    <col min="13821" max="13821" width="30.7109375" style="956" customWidth="1"/>
    <col min="13822" max="13823" width="10" style="956" customWidth="1"/>
    <col min="13824" max="13824" width="9.85546875" style="956" customWidth="1"/>
    <col min="13825" max="13825" width="12.42578125" style="956" customWidth="1"/>
    <col min="13826" max="13831" width="12.7109375" style="956" customWidth="1"/>
    <col min="13832" max="13832" width="13" style="956" customWidth="1"/>
    <col min="13833" max="13834" width="12.7109375" style="956" customWidth="1"/>
    <col min="13835" max="13835" width="9.140625" style="956"/>
    <col min="13836" max="13836" width="11.140625" style="956" bestFit="1" customWidth="1"/>
    <col min="13837" max="14075" width="9.140625" style="956"/>
    <col min="14076" max="14076" width="4" style="956" customWidth="1"/>
    <col min="14077" max="14077" width="30.7109375" style="956" customWidth="1"/>
    <col min="14078" max="14079" width="10" style="956" customWidth="1"/>
    <col min="14080" max="14080" width="9.85546875" style="956" customWidth="1"/>
    <col min="14081" max="14081" width="12.42578125" style="956" customWidth="1"/>
    <col min="14082" max="14087" width="12.7109375" style="956" customWidth="1"/>
    <col min="14088" max="14088" width="13" style="956" customWidth="1"/>
    <col min="14089" max="14090" width="12.7109375" style="956" customWidth="1"/>
    <col min="14091" max="14091" width="9.140625" style="956"/>
    <col min="14092" max="14092" width="11.140625" style="956" bestFit="1" customWidth="1"/>
    <col min="14093" max="14331" width="9.140625" style="956"/>
    <col min="14332" max="14332" width="4" style="956" customWidth="1"/>
    <col min="14333" max="14333" width="30.7109375" style="956" customWidth="1"/>
    <col min="14334" max="14335" width="10" style="956" customWidth="1"/>
    <col min="14336" max="14336" width="9.85546875" style="956" customWidth="1"/>
    <col min="14337" max="14337" width="12.42578125" style="956" customWidth="1"/>
    <col min="14338" max="14343" width="12.7109375" style="956" customWidth="1"/>
    <col min="14344" max="14344" width="13" style="956" customWidth="1"/>
    <col min="14345" max="14346" width="12.7109375" style="956" customWidth="1"/>
    <col min="14347" max="14347" width="9.140625" style="956"/>
    <col min="14348" max="14348" width="11.140625" style="956" bestFit="1" customWidth="1"/>
    <col min="14349" max="14587" width="9.140625" style="956"/>
    <col min="14588" max="14588" width="4" style="956" customWidth="1"/>
    <col min="14589" max="14589" width="30.7109375" style="956" customWidth="1"/>
    <col min="14590" max="14591" width="10" style="956" customWidth="1"/>
    <col min="14592" max="14592" width="9.85546875" style="956" customWidth="1"/>
    <col min="14593" max="14593" width="12.42578125" style="956" customWidth="1"/>
    <col min="14594" max="14599" width="12.7109375" style="956" customWidth="1"/>
    <col min="14600" max="14600" width="13" style="956" customWidth="1"/>
    <col min="14601" max="14602" width="12.7109375" style="956" customWidth="1"/>
    <col min="14603" max="14603" width="9.140625" style="956"/>
    <col min="14604" max="14604" width="11.140625" style="956" bestFit="1" customWidth="1"/>
    <col min="14605" max="14843" width="9.140625" style="956"/>
    <col min="14844" max="14844" width="4" style="956" customWidth="1"/>
    <col min="14845" max="14845" width="30.7109375" style="956" customWidth="1"/>
    <col min="14846" max="14847" width="10" style="956" customWidth="1"/>
    <col min="14848" max="14848" width="9.85546875" style="956" customWidth="1"/>
    <col min="14849" max="14849" width="12.42578125" style="956" customWidth="1"/>
    <col min="14850" max="14855" width="12.7109375" style="956" customWidth="1"/>
    <col min="14856" max="14856" width="13" style="956" customWidth="1"/>
    <col min="14857" max="14858" width="12.7109375" style="956" customWidth="1"/>
    <col min="14859" max="14859" width="9.140625" style="956"/>
    <col min="14860" max="14860" width="11.140625" style="956" bestFit="1" customWidth="1"/>
    <col min="14861" max="15099" width="9.140625" style="956"/>
    <col min="15100" max="15100" width="4" style="956" customWidth="1"/>
    <col min="15101" max="15101" width="30.7109375" style="956" customWidth="1"/>
    <col min="15102" max="15103" width="10" style="956" customWidth="1"/>
    <col min="15104" max="15104" width="9.85546875" style="956" customWidth="1"/>
    <col min="15105" max="15105" width="12.42578125" style="956" customWidth="1"/>
    <col min="15106" max="15111" width="12.7109375" style="956" customWidth="1"/>
    <col min="15112" max="15112" width="13" style="956" customWidth="1"/>
    <col min="15113" max="15114" width="12.7109375" style="956" customWidth="1"/>
    <col min="15115" max="15115" width="9.140625" style="956"/>
    <col min="15116" max="15116" width="11.140625" style="956" bestFit="1" customWidth="1"/>
    <col min="15117" max="15355" width="9.140625" style="956"/>
    <col min="15356" max="15356" width="4" style="956" customWidth="1"/>
    <col min="15357" max="15357" width="30.7109375" style="956" customWidth="1"/>
    <col min="15358" max="15359" width="10" style="956" customWidth="1"/>
    <col min="15360" max="15360" width="9.85546875" style="956" customWidth="1"/>
    <col min="15361" max="15361" width="12.42578125" style="956" customWidth="1"/>
    <col min="15362" max="15367" width="12.7109375" style="956" customWidth="1"/>
    <col min="15368" max="15368" width="13" style="956" customWidth="1"/>
    <col min="15369" max="15370" width="12.7109375" style="956" customWidth="1"/>
    <col min="15371" max="15371" width="9.140625" style="956"/>
    <col min="15372" max="15372" width="11.140625" style="956" bestFit="1" customWidth="1"/>
    <col min="15373" max="15611" width="9.140625" style="956"/>
    <col min="15612" max="15612" width="4" style="956" customWidth="1"/>
    <col min="15613" max="15613" width="30.7109375" style="956" customWidth="1"/>
    <col min="15614" max="15615" width="10" style="956" customWidth="1"/>
    <col min="15616" max="15616" width="9.85546875" style="956" customWidth="1"/>
    <col min="15617" max="15617" width="12.42578125" style="956" customWidth="1"/>
    <col min="15618" max="15623" width="12.7109375" style="956" customWidth="1"/>
    <col min="15624" max="15624" width="13" style="956" customWidth="1"/>
    <col min="15625" max="15626" width="12.7109375" style="956" customWidth="1"/>
    <col min="15627" max="15627" width="9.140625" style="956"/>
    <col min="15628" max="15628" width="11.140625" style="956" bestFit="1" customWidth="1"/>
    <col min="15629" max="15867" width="9.140625" style="956"/>
    <col min="15868" max="15868" width="4" style="956" customWidth="1"/>
    <col min="15869" max="15869" width="30.7109375" style="956" customWidth="1"/>
    <col min="15870" max="15871" width="10" style="956" customWidth="1"/>
    <col min="15872" max="15872" width="9.85546875" style="956" customWidth="1"/>
    <col min="15873" max="15873" width="12.42578125" style="956" customWidth="1"/>
    <col min="15874" max="15879" width="12.7109375" style="956" customWidth="1"/>
    <col min="15880" max="15880" width="13" style="956" customWidth="1"/>
    <col min="15881" max="15882" width="12.7109375" style="956" customWidth="1"/>
    <col min="15883" max="15883" width="9.140625" style="956"/>
    <col min="15884" max="15884" width="11.140625" style="956" bestFit="1" customWidth="1"/>
    <col min="15885" max="16123" width="9.140625" style="956"/>
    <col min="16124" max="16124" width="4" style="956" customWidth="1"/>
    <col min="16125" max="16125" width="30.7109375" style="956" customWidth="1"/>
    <col min="16126" max="16127" width="10" style="956" customWidth="1"/>
    <col min="16128" max="16128" width="9.85546875" style="956" customWidth="1"/>
    <col min="16129" max="16129" width="12.42578125" style="956" customWidth="1"/>
    <col min="16130" max="16135" width="12.7109375" style="956" customWidth="1"/>
    <col min="16136" max="16136" width="13" style="956" customWidth="1"/>
    <col min="16137" max="16138" width="12.7109375" style="956" customWidth="1"/>
    <col min="16139" max="16139" width="9.140625" style="956"/>
    <col min="16140" max="16140" width="11.140625" style="956" bestFit="1" customWidth="1"/>
    <col min="16141" max="16384" width="9.140625" style="956"/>
  </cols>
  <sheetData>
    <row r="1" spans="1:16" s="954" customFormat="1" ht="13.5" thickBot="1">
      <c r="A1" s="954" t="s">
        <v>15</v>
      </c>
      <c r="B1" s="955"/>
      <c r="C1" s="955"/>
      <c r="H1" s="1394"/>
    </row>
    <row r="2" spans="1:16" ht="23.25" thickBot="1">
      <c r="A2" s="1724" t="s">
        <v>16</v>
      </c>
      <c r="B2" s="1725"/>
      <c r="C2" s="1725"/>
      <c r="D2" s="1725"/>
      <c r="E2" s="1725"/>
      <c r="F2" s="1725"/>
      <c r="G2" s="1725"/>
      <c r="H2" s="1725"/>
      <c r="I2" s="1725"/>
      <c r="J2" s="1725"/>
      <c r="K2" s="1725"/>
      <c r="L2" s="1725"/>
      <c r="M2" s="1725"/>
      <c r="N2" s="1725"/>
      <c r="O2" s="1725"/>
      <c r="P2" s="1768"/>
    </row>
    <row r="3" spans="1:16" ht="16.5" thickBot="1">
      <c r="A3" s="1726" t="s">
        <v>17</v>
      </c>
      <c r="B3" s="1727"/>
      <c r="C3" s="1727"/>
      <c r="D3" s="1727"/>
      <c r="E3" s="1727"/>
      <c r="F3" s="1727"/>
      <c r="G3" s="1727"/>
      <c r="H3" s="1727"/>
      <c r="I3" s="1727"/>
      <c r="J3" s="1727"/>
      <c r="K3" s="1727"/>
      <c r="L3" s="1727"/>
      <c r="M3" s="1727"/>
      <c r="N3" s="1727"/>
      <c r="O3" s="1727"/>
      <c r="P3" s="1769"/>
    </row>
    <row r="4" spans="1:16" ht="25.5">
      <c r="A4" s="957" t="s">
        <v>18</v>
      </c>
      <c r="B4" s="958"/>
      <c r="C4" s="958"/>
      <c r="D4" s="959" t="s">
        <v>19</v>
      </c>
      <c r="E4" s="959"/>
      <c r="F4" s="959"/>
      <c r="G4" s="960"/>
      <c r="H4" s="1770"/>
      <c r="I4" s="1789" t="s">
        <v>1718</v>
      </c>
      <c r="J4" s="1790"/>
      <c r="K4" s="961" t="s">
        <v>21</v>
      </c>
      <c r="L4" s="15"/>
      <c r="M4" s="1395" t="s">
        <v>24</v>
      </c>
      <c r="N4" s="1396">
        <v>42572</v>
      </c>
      <c r="O4" s="963"/>
      <c r="P4" s="963"/>
    </row>
    <row r="5" spans="1:16" ht="26.25" thickBot="1">
      <c r="A5" s="964" t="s">
        <v>26</v>
      </c>
      <c r="B5" s="965"/>
      <c r="C5" s="965"/>
      <c r="D5" s="966" t="s">
        <v>27</v>
      </c>
      <c r="E5" s="966"/>
      <c r="F5" s="966"/>
      <c r="G5" s="967"/>
      <c r="H5" s="1771"/>
      <c r="I5" s="1397">
        <f>D42-J42</f>
        <v>5525.2000000000044</v>
      </c>
      <c r="J5" s="1377"/>
      <c r="K5" s="968" t="s">
        <v>28</v>
      </c>
      <c r="L5" s="15"/>
      <c r="M5" s="969" t="s">
        <v>30</v>
      </c>
      <c r="N5" s="970"/>
      <c r="O5" s="970" t="s">
        <v>18</v>
      </c>
      <c r="P5" s="970" t="s">
        <v>31</v>
      </c>
    </row>
    <row r="6" spans="1:16" ht="13.5" thickBot="1">
      <c r="A6" s="971"/>
      <c r="B6" s="972"/>
      <c r="C6" s="972"/>
      <c r="G6" s="974"/>
      <c r="H6" s="263"/>
      <c r="I6" s="975"/>
      <c r="J6" s="974"/>
      <c r="K6" s="976"/>
      <c r="L6" s="974"/>
      <c r="M6" s="974"/>
      <c r="N6" s="974"/>
      <c r="O6" s="974"/>
      <c r="P6" s="974"/>
    </row>
    <row r="7" spans="1:16" ht="31.5" customHeight="1" thickBot="1">
      <c r="A7" s="1783" t="s">
        <v>32</v>
      </c>
      <c r="B7" s="1733" t="s">
        <v>33</v>
      </c>
      <c r="C7" s="1367"/>
      <c r="D7" s="1733" t="s">
        <v>34</v>
      </c>
      <c r="E7" s="1733" t="s">
        <v>185</v>
      </c>
      <c r="F7" s="1733" t="s">
        <v>1719</v>
      </c>
      <c r="G7" s="1783" t="s">
        <v>35</v>
      </c>
      <c r="H7" s="1786" t="s">
        <v>1311</v>
      </c>
      <c r="I7" s="1744" t="s">
        <v>1720</v>
      </c>
      <c r="J7" s="1745"/>
      <c r="K7" s="1775" t="s">
        <v>1721</v>
      </c>
      <c r="L7" s="1745"/>
      <c r="M7" s="1761" t="s">
        <v>180</v>
      </c>
      <c r="N7" s="1762"/>
      <c r="O7" s="1761"/>
      <c r="P7" s="1719"/>
    </row>
    <row r="8" spans="1:16" ht="19.5" customHeight="1">
      <c r="A8" s="1784"/>
      <c r="B8" s="1734"/>
      <c r="C8" s="1368"/>
      <c r="D8" s="1734"/>
      <c r="E8" s="1734"/>
      <c r="F8" s="1734"/>
      <c r="G8" s="1784"/>
      <c r="H8" s="1787"/>
      <c r="I8" s="1722" t="s">
        <v>1722</v>
      </c>
      <c r="J8" s="1723"/>
      <c r="K8" s="1723" t="s">
        <v>1723</v>
      </c>
      <c r="L8" s="1723"/>
      <c r="M8" s="1723" t="s">
        <v>1724</v>
      </c>
      <c r="N8" s="1776"/>
      <c r="O8" s="1723"/>
      <c r="P8" s="1721"/>
    </row>
    <row r="9" spans="1:16" ht="21.75" customHeight="1" thickBot="1">
      <c r="A9" s="1784"/>
      <c r="B9" s="1734"/>
      <c r="C9" s="1368"/>
      <c r="D9" s="1734"/>
      <c r="E9" s="1734"/>
      <c r="F9" s="1734"/>
      <c r="G9" s="1784"/>
      <c r="H9" s="1787"/>
      <c r="I9" s="1722"/>
      <c r="J9" s="1723"/>
      <c r="K9" s="1723"/>
      <c r="L9" s="1723"/>
      <c r="M9" s="1723"/>
      <c r="N9" s="1776"/>
      <c r="O9" s="1723"/>
      <c r="P9" s="1721"/>
    </row>
    <row r="10" spans="1:16" ht="39" customHeight="1" thickBot="1">
      <c r="A10" s="1784"/>
      <c r="B10" s="1734"/>
      <c r="C10" s="1368"/>
      <c r="D10" s="1734"/>
      <c r="E10" s="1734"/>
      <c r="F10" s="1734"/>
      <c r="G10" s="1784"/>
      <c r="H10" s="1787"/>
      <c r="I10" s="1777" t="s">
        <v>1297</v>
      </c>
      <c r="J10" s="1778"/>
      <c r="K10" s="1765" t="s">
        <v>1725</v>
      </c>
      <c r="L10" s="1745"/>
      <c r="M10" s="1766" t="s">
        <v>1726</v>
      </c>
      <c r="N10" s="1767"/>
      <c r="O10" s="1766"/>
      <c r="P10" s="1747"/>
    </row>
    <row r="11" spans="1:16" ht="13.5" thickBot="1">
      <c r="A11" s="1784"/>
      <c r="B11" s="1734"/>
      <c r="C11" s="1368"/>
      <c r="D11" s="1734"/>
      <c r="E11" s="1734"/>
      <c r="F11" s="1734"/>
      <c r="G11" s="1784"/>
      <c r="H11" s="1787"/>
      <c r="I11" s="1715" t="s">
        <v>46</v>
      </c>
      <c r="J11" s="1715"/>
      <c r="K11" s="1716" t="s">
        <v>46</v>
      </c>
      <c r="L11" s="1715"/>
      <c r="M11" s="1716" t="s">
        <v>46</v>
      </c>
      <c r="N11" s="1715"/>
      <c r="O11" s="1370"/>
      <c r="P11" s="1398"/>
    </row>
    <row r="12" spans="1:16" ht="13.5" thickBot="1">
      <c r="A12" s="1785"/>
      <c r="B12" s="1735"/>
      <c r="C12" s="1369"/>
      <c r="D12" s="1735"/>
      <c r="E12" s="1735"/>
      <c r="F12" s="1735"/>
      <c r="G12" s="1785"/>
      <c r="H12" s="1788"/>
      <c r="I12" s="1312" t="s">
        <v>47</v>
      </c>
      <c r="J12" s="1311" t="s">
        <v>48</v>
      </c>
      <c r="K12" s="1399" t="s">
        <v>47</v>
      </c>
      <c r="L12" s="1400" t="s">
        <v>48</v>
      </c>
      <c r="M12" s="1401" t="s">
        <v>47</v>
      </c>
      <c r="N12" s="986" t="s">
        <v>48</v>
      </c>
      <c r="O12" s="1402"/>
      <c r="P12" s="1403"/>
    </row>
    <row r="13" spans="1:16" ht="16.5">
      <c r="A13" s="1404">
        <v>1</v>
      </c>
      <c r="B13" s="1405" t="s">
        <v>1727</v>
      </c>
      <c r="C13" s="1405" t="s">
        <v>1728</v>
      </c>
      <c r="D13" s="1406">
        <v>90</v>
      </c>
      <c r="E13" s="1407" t="s">
        <v>1729</v>
      </c>
      <c r="F13" s="1408">
        <v>42430</v>
      </c>
      <c r="G13" s="1405" t="s">
        <v>192</v>
      </c>
      <c r="H13" s="1409">
        <v>36</v>
      </c>
      <c r="I13" s="1410">
        <v>120</v>
      </c>
      <c r="J13" s="1410">
        <v>90</v>
      </c>
      <c r="K13" s="1411">
        <v>85</v>
      </c>
      <c r="L13" s="1412">
        <f>K13</f>
        <v>85</v>
      </c>
      <c r="M13" s="1413">
        <v>150</v>
      </c>
      <c r="N13" s="1413">
        <v>150</v>
      </c>
      <c r="O13" s="1414" t="s">
        <v>1730</v>
      </c>
      <c r="P13" s="1414" t="s">
        <v>204</v>
      </c>
    </row>
    <row r="14" spans="1:16" ht="16.5">
      <c r="A14" s="1314">
        <v>2</v>
      </c>
      <c r="B14" s="1414" t="s">
        <v>1731</v>
      </c>
      <c r="C14" s="1414" t="s">
        <v>1732</v>
      </c>
      <c r="D14" s="1415">
        <v>90</v>
      </c>
      <c r="E14" s="1414"/>
      <c r="F14" s="1416"/>
      <c r="G14" s="1414" t="s">
        <v>192</v>
      </c>
      <c r="H14" s="1417">
        <v>6</v>
      </c>
      <c r="I14" s="1415">
        <v>90</v>
      </c>
      <c r="J14" s="1418">
        <f t="shared" ref="J14:J37" si="0">I14</f>
        <v>90</v>
      </c>
      <c r="K14" s="1411">
        <v>70</v>
      </c>
      <c r="L14" s="1412">
        <f t="shared" ref="L14:L40" si="1">K14</f>
        <v>70</v>
      </c>
      <c r="M14" s="1413">
        <v>150</v>
      </c>
      <c r="N14" s="1413">
        <v>150</v>
      </c>
      <c r="O14" s="1414" t="s">
        <v>1730</v>
      </c>
      <c r="P14" s="1414" t="s">
        <v>206</v>
      </c>
    </row>
    <row r="15" spans="1:16" ht="16.5">
      <c r="A15" s="1314">
        <v>3</v>
      </c>
      <c r="B15" s="1414" t="s">
        <v>1733</v>
      </c>
      <c r="C15" s="1414" t="s">
        <v>1734</v>
      </c>
      <c r="D15" s="1415">
        <v>75</v>
      </c>
      <c r="E15" s="1414"/>
      <c r="F15" s="1416"/>
      <c r="G15" s="1414" t="s">
        <v>192</v>
      </c>
      <c r="H15" s="1417">
        <v>8</v>
      </c>
      <c r="I15" s="1415">
        <v>75</v>
      </c>
      <c r="J15" s="1418">
        <f t="shared" si="0"/>
        <v>75</v>
      </c>
      <c r="K15" s="1411">
        <v>60</v>
      </c>
      <c r="L15" s="1412">
        <f t="shared" si="1"/>
        <v>60</v>
      </c>
      <c r="M15" s="1413">
        <v>130</v>
      </c>
      <c r="N15" s="1413">
        <v>130</v>
      </c>
      <c r="O15" s="1414" t="s">
        <v>1730</v>
      </c>
      <c r="P15" s="1414" t="s">
        <v>209</v>
      </c>
    </row>
    <row r="16" spans="1:16" ht="16.5">
      <c r="A16" s="1314">
        <v>4</v>
      </c>
      <c r="B16" s="1414" t="s">
        <v>1735</v>
      </c>
      <c r="C16" s="1414" t="s">
        <v>1736</v>
      </c>
      <c r="D16" s="1415">
        <v>60</v>
      </c>
      <c r="E16" s="1414"/>
      <c r="F16" s="1416"/>
      <c r="G16" s="1414" t="s">
        <v>192</v>
      </c>
      <c r="H16" s="1417">
        <v>6</v>
      </c>
      <c r="I16" s="1415">
        <v>60</v>
      </c>
      <c r="J16" s="1418">
        <f t="shared" si="0"/>
        <v>60</v>
      </c>
      <c r="K16" s="1411">
        <v>60</v>
      </c>
      <c r="L16" s="1412">
        <f t="shared" si="1"/>
        <v>60</v>
      </c>
      <c r="M16" s="1413">
        <v>120</v>
      </c>
      <c r="N16" s="1413">
        <v>120</v>
      </c>
      <c r="O16" s="1414" t="s">
        <v>1730</v>
      </c>
      <c r="P16" s="1414" t="s">
        <v>212</v>
      </c>
    </row>
    <row r="17" spans="1:16" ht="16.5">
      <c r="A17" s="1314">
        <v>5</v>
      </c>
      <c r="B17" s="1414" t="s">
        <v>1737</v>
      </c>
      <c r="C17" s="1414" t="s">
        <v>1738</v>
      </c>
      <c r="D17" s="1419">
        <v>30</v>
      </c>
      <c r="E17" s="1001" t="s">
        <v>1739</v>
      </c>
      <c r="F17" s="1420">
        <v>42479</v>
      </c>
      <c r="G17" s="1414" t="s">
        <v>192</v>
      </c>
      <c r="H17" s="1417">
        <v>24</v>
      </c>
      <c r="I17" s="1415">
        <v>40</v>
      </c>
      <c r="J17" s="1418">
        <f t="shared" si="0"/>
        <v>40</v>
      </c>
      <c r="K17" s="1411">
        <v>35</v>
      </c>
      <c r="L17" s="1412">
        <f t="shared" si="1"/>
        <v>35</v>
      </c>
      <c r="M17" s="1413">
        <v>60</v>
      </c>
      <c r="N17" s="1413">
        <v>60</v>
      </c>
      <c r="O17" s="1414" t="s">
        <v>1730</v>
      </c>
      <c r="P17" s="1414" t="s">
        <v>214</v>
      </c>
    </row>
    <row r="18" spans="1:16" ht="16.5">
      <c r="A18" s="1314">
        <v>6</v>
      </c>
      <c r="B18" s="1414" t="s">
        <v>1740</v>
      </c>
      <c r="C18" s="1414" t="s">
        <v>1741</v>
      </c>
      <c r="D18" s="1419">
        <v>89</v>
      </c>
      <c r="E18" s="1001" t="s">
        <v>1742</v>
      </c>
      <c r="F18" s="1420">
        <v>42026</v>
      </c>
      <c r="G18" s="1414" t="s">
        <v>192</v>
      </c>
      <c r="H18" s="1417">
        <v>7</v>
      </c>
      <c r="I18" s="1415">
        <v>90</v>
      </c>
      <c r="J18" s="1418">
        <v>89</v>
      </c>
      <c r="K18" s="1411">
        <v>75</v>
      </c>
      <c r="L18" s="1412">
        <f t="shared" si="1"/>
        <v>75</v>
      </c>
      <c r="M18" s="1413">
        <v>175</v>
      </c>
      <c r="N18" s="1413">
        <v>175</v>
      </c>
      <c r="O18" s="1414" t="s">
        <v>1743</v>
      </c>
      <c r="P18" s="1414" t="s">
        <v>136</v>
      </c>
    </row>
    <row r="19" spans="1:16" ht="16.5">
      <c r="A19" s="1314">
        <v>7</v>
      </c>
      <c r="B19" s="1414" t="s">
        <v>1744</v>
      </c>
      <c r="C19" s="1414" t="s">
        <v>1745</v>
      </c>
      <c r="D19" s="1419">
        <v>250</v>
      </c>
      <c r="E19" s="1001" t="s">
        <v>1742</v>
      </c>
      <c r="F19" s="1420">
        <v>42026</v>
      </c>
      <c r="G19" s="1414" t="s">
        <v>192</v>
      </c>
      <c r="H19" s="1417">
        <v>3</v>
      </c>
      <c r="I19" s="1415">
        <v>270</v>
      </c>
      <c r="J19" s="1418">
        <v>250</v>
      </c>
      <c r="K19" s="1411">
        <v>290</v>
      </c>
      <c r="L19" s="1412">
        <f t="shared" si="1"/>
        <v>290</v>
      </c>
      <c r="M19" s="1413">
        <v>450</v>
      </c>
      <c r="N19" s="1413">
        <v>450</v>
      </c>
      <c r="O19" s="1414" t="s">
        <v>1743</v>
      </c>
      <c r="P19" s="1414" t="s">
        <v>147</v>
      </c>
    </row>
    <row r="20" spans="1:16" ht="16.5">
      <c r="A20" s="1314">
        <v>8</v>
      </c>
      <c r="B20" s="1414" t="s">
        <v>1746</v>
      </c>
      <c r="C20" s="1414" t="s">
        <v>1747</v>
      </c>
      <c r="D20" s="1419">
        <v>101.86</v>
      </c>
      <c r="E20" s="1001" t="s">
        <v>1748</v>
      </c>
      <c r="F20" s="1420">
        <v>42290</v>
      </c>
      <c r="G20" s="1414" t="s">
        <v>192</v>
      </c>
      <c r="H20" s="1417">
        <v>20</v>
      </c>
      <c r="I20" s="1415">
        <v>100</v>
      </c>
      <c r="J20" s="1418">
        <f t="shared" si="0"/>
        <v>100</v>
      </c>
      <c r="K20" s="1411">
        <v>75</v>
      </c>
      <c r="L20" s="1412">
        <f t="shared" si="1"/>
        <v>75</v>
      </c>
      <c r="M20" s="1413">
        <v>350</v>
      </c>
      <c r="N20" s="1413">
        <v>350</v>
      </c>
      <c r="O20" s="1414" t="s">
        <v>1743</v>
      </c>
      <c r="P20" s="1414" t="s">
        <v>150</v>
      </c>
    </row>
    <row r="21" spans="1:16" ht="16.5">
      <c r="A21" s="1314">
        <v>9</v>
      </c>
      <c r="B21" s="1414" t="s">
        <v>1749</v>
      </c>
      <c r="C21" s="1414" t="s">
        <v>1750</v>
      </c>
      <c r="D21" s="1419">
        <v>168</v>
      </c>
      <c r="E21" s="1001" t="s">
        <v>1751</v>
      </c>
      <c r="F21" s="1420">
        <v>42119</v>
      </c>
      <c r="G21" s="1414" t="s">
        <v>192</v>
      </c>
      <c r="H21" s="1417">
        <v>6</v>
      </c>
      <c r="I21" s="1415">
        <v>160</v>
      </c>
      <c r="J21" s="1418">
        <f t="shared" si="0"/>
        <v>160</v>
      </c>
      <c r="K21" s="1411">
        <v>220</v>
      </c>
      <c r="L21" s="1412">
        <f t="shared" si="1"/>
        <v>220</v>
      </c>
      <c r="M21" s="1413">
        <v>500</v>
      </c>
      <c r="N21" s="1413">
        <v>500</v>
      </c>
      <c r="O21" s="1414" t="s">
        <v>1743</v>
      </c>
      <c r="P21" s="1414" t="s">
        <v>152</v>
      </c>
    </row>
    <row r="22" spans="1:16" ht="16.5">
      <c r="A22" s="1314">
        <v>10</v>
      </c>
      <c r="B22" s="1414" t="s">
        <v>1752</v>
      </c>
      <c r="C22" s="1414" t="s">
        <v>1753</v>
      </c>
      <c r="D22" s="1421">
        <v>620</v>
      </c>
      <c r="E22" s="1001" t="s">
        <v>1754</v>
      </c>
      <c r="F22" s="1420">
        <v>41934</v>
      </c>
      <c r="G22" s="1414" t="s">
        <v>192</v>
      </c>
      <c r="H22" s="1417">
        <v>2</v>
      </c>
      <c r="I22" s="1415">
        <v>500</v>
      </c>
      <c r="J22" s="1418">
        <f t="shared" si="0"/>
        <v>500</v>
      </c>
      <c r="K22" s="1411">
        <v>650</v>
      </c>
      <c r="L22" s="1412">
        <f t="shared" si="1"/>
        <v>650</v>
      </c>
      <c r="M22" s="1413">
        <v>950</v>
      </c>
      <c r="N22" s="1413">
        <v>950</v>
      </c>
      <c r="O22" s="1414" t="s">
        <v>1743</v>
      </c>
      <c r="P22" s="1414" t="s">
        <v>140</v>
      </c>
    </row>
    <row r="23" spans="1:16" ht="16.5">
      <c r="A23" s="1314">
        <v>11</v>
      </c>
      <c r="B23" s="1414" t="s">
        <v>1755</v>
      </c>
      <c r="C23" s="1414" t="s">
        <v>1756</v>
      </c>
      <c r="D23" s="1419">
        <v>120.38</v>
      </c>
      <c r="E23" s="1001" t="s">
        <v>1748</v>
      </c>
      <c r="F23" s="1420">
        <v>42290</v>
      </c>
      <c r="G23" s="1414" t="s">
        <v>192</v>
      </c>
      <c r="H23" s="1417">
        <v>20</v>
      </c>
      <c r="I23" s="1415">
        <v>90</v>
      </c>
      <c r="J23" s="1418">
        <f t="shared" si="0"/>
        <v>90</v>
      </c>
      <c r="K23" s="1411">
        <v>65</v>
      </c>
      <c r="L23" s="1412">
        <f t="shared" si="1"/>
        <v>65</v>
      </c>
      <c r="M23" s="1413">
        <v>140</v>
      </c>
      <c r="N23" s="1413">
        <v>140</v>
      </c>
      <c r="O23" s="1414" t="s">
        <v>1743</v>
      </c>
      <c r="P23" s="1414" t="s">
        <v>206</v>
      </c>
    </row>
    <row r="24" spans="1:16" ht="16.5">
      <c r="A24" s="1314">
        <v>12</v>
      </c>
      <c r="B24" s="1414" t="s">
        <v>1757</v>
      </c>
      <c r="C24" s="1414" t="s">
        <v>1758</v>
      </c>
      <c r="D24" s="1419">
        <v>150</v>
      </c>
      <c r="E24" s="1001" t="s">
        <v>1759</v>
      </c>
      <c r="F24" s="1420">
        <v>42101</v>
      </c>
      <c r="G24" s="1414" t="s">
        <v>192</v>
      </c>
      <c r="H24" s="1417">
        <v>6</v>
      </c>
      <c r="I24" s="1415">
        <v>135</v>
      </c>
      <c r="J24" s="1418">
        <f t="shared" si="0"/>
        <v>135</v>
      </c>
      <c r="K24" s="1411">
        <v>150</v>
      </c>
      <c r="L24" s="1412">
        <f t="shared" si="1"/>
        <v>150</v>
      </c>
      <c r="M24" s="1413">
        <v>275</v>
      </c>
      <c r="N24" s="1413">
        <v>275</v>
      </c>
      <c r="O24" s="1414" t="s">
        <v>1743</v>
      </c>
      <c r="P24" s="1414" t="s">
        <v>209</v>
      </c>
    </row>
    <row r="25" spans="1:16" ht="15">
      <c r="A25" s="1314">
        <v>13</v>
      </c>
      <c r="B25" s="1414" t="s">
        <v>1760</v>
      </c>
      <c r="C25" s="1414" t="s">
        <v>1761</v>
      </c>
      <c r="D25" s="1419">
        <v>72</v>
      </c>
      <c r="E25" s="1001" t="s">
        <v>1762</v>
      </c>
      <c r="F25" s="1420">
        <v>42282</v>
      </c>
      <c r="G25" s="1414" t="s">
        <v>192</v>
      </c>
      <c r="H25" s="1417">
        <v>16</v>
      </c>
      <c r="I25" s="1415">
        <v>70</v>
      </c>
      <c r="J25" s="1418">
        <f t="shared" si="0"/>
        <v>70</v>
      </c>
      <c r="K25" s="1422">
        <v>65</v>
      </c>
      <c r="L25" s="1412">
        <f t="shared" si="1"/>
        <v>65</v>
      </c>
      <c r="M25" s="1413">
        <v>120</v>
      </c>
      <c r="N25" s="1413">
        <v>120</v>
      </c>
      <c r="O25" s="1414" t="s">
        <v>1743</v>
      </c>
      <c r="P25" s="1414" t="s">
        <v>218</v>
      </c>
    </row>
    <row r="26" spans="1:16" ht="15">
      <c r="A26" s="1314">
        <v>14</v>
      </c>
      <c r="B26" s="1414" t="s">
        <v>1763</v>
      </c>
      <c r="C26" s="1414" t="s">
        <v>1764</v>
      </c>
      <c r="D26" s="1419">
        <v>280</v>
      </c>
      <c r="E26" s="1001" t="s">
        <v>1742</v>
      </c>
      <c r="F26" s="1420">
        <v>42026</v>
      </c>
      <c r="G26" s="1414" t="s">
        <v>192</v>
      </c>
      <c r="H26" s="1417">
        <v>20</v>
      </c>
      <c r="I26" s="1415">
        <v>270</v>
      </c>
      <c r="J26" s="1418">
        <f t="shared" si="0"/>
        <v>270</v>
      </c>
      <c r="K26" s="1422">
        <v>230</v>
      </c>
      <c r="L26" s="1412">
        <f t="shared" si="1"/>
        <v>230</v>
      </c>
      <c r="M26" s="1413">
        <v>450</v>
      </c>
      <c r="N26" s="1413">
        <v>450</v>
      </c>
      <c r="O26" s="1414" t="s">
        <v>1765</v>
      </c>
      <c r="P26" s="1414" t="s">
        <v>136</v>
      </c>
    </row>
    <row r="27" spans="1:16" ht="15">
      <c r="A27" s="1314">
        <v>15</v>
      </c>
      <c r="B27" s="1414" t="s">
        <v>1766</v>
      </c>
      <c r="C27" s="1414" t="s">
        <v>1767</v>
      </c>
      <c r="D27" s="1419">
        <v>250.02</v>
      </c>
      <c r="E27" s="1001" t="s">
        <v>1748</v>
      </c>
      <c r="F27" s="1420">
        <v>42290</v>
      </c>
      <c r="G27" s="1414" t="s">
        <v>192</v>
      </c>
      <c r="H27" s="1417">
        <v>20</v>
      </c>
      <c r="I27" s="1415">
        <v>190</v>
      </c>
      <c r="J27" s="1418">
        <f t="shared" si="0"/>
        <v>190</v>
      </c>
      <c r="K27" s="1422">
        <v>290</v>
      </c>
      <c r="L27" s="1412">
        <f t="shared" si="1"/>
        <v>290</v>
      </c>
      <c r="M27" s="1413">
        <v>750</v>
      </c>
      <c r="N27" s="1413">
        <v>750</v>
      </c>
      <c r="O27" s="1414" t="s">
        <v>1765</v>
      </c>
      <c r="P27" s="1414" t="s">
        <v>147</v>
      </c>
    </row>
    <row r="28" spans="1:16" ht="15">
      <c r="A28" s="1314">
        <v>16</v>
      </c>
      <c r="B28" s="1414" t="s">
        <v>1768</v>
      </c>
      <c r="C28" s="1414" t="s">
        <v>1769</v>
      </c>
      <c r="D28" s="1419">
        <v>1080</v>
      </c>
      <c r="E28" s="1001" t="s">
        <v>1742</v>
      </c>
      <c r="F28" s="1420">
        <v>42026</v>
      </c>
      <c r="G28" s="1414" t="s">
        <v>192</v>
      </c>
      <c r="H28" s="1417">
        <v>15</v>
      </c>
      <c r="I28" s="1415">
        <v>900</v>
      </c>
      <c r="J28" s="1418">
        <f t="shared" si="0"/>
        <v>900</v>
      </c>
      <c r="K28" s="1422">
        <v>850</v>
      </c>
      <c r="L28" s="1412">
        <f t="shared" si="1"/>
        <v>850</v>
      </c>
      <c r="M28" s="1413">
        <v>1250</v>
      </c>
      <c r="N28" s="1413">
        <v>1250</v>
      </c>
      <c r="O28" s="1414" t="s">
        <v>1765</v>
      </c>
      <c r="P28" s="1414" t="s">
        <v>150</v>
      </c>
    </row>
    <row r="29" spans="1:16" ht="15">
      <c r="A29" s="1314">
        <v>17</v>
      </c>
      <c r="B29" s="1414" t="s">
        <v>205</v>
      </c>
      <c r="C29" s="1414" t="s">
        <v>1770</v>
      </c>
      <c r="D29" s="1419">
        <v>73.5</v>
      </c>
      <c r="E29" s="1001" t="s">
        <v>1771</v>
      </c>
      <c r="F29" s="1420">
        <v>42168</v>
      </c>
      <c r="G29" s="1414" t="s">
        <v>192</v>
      </c>
      <c r="H29" s="1417">
        <v>20</v>
      </c>
      <c r="I29" s="1415">
        <v>90</v>
      </c>
      <c r="J29" s="1418">
        <v>73.5</v>
      </c>
      <c r="K29" s="1422">
        <v>70</v>
      </c>
      <c r="L29" s="1412">
        <f t="shared" si="1"/>
        <v>70</v>
      </c>
      <c r="M29" s="1413">
        <v>100</v>
      </c>
      <c r="N29" s="1413">
        <v>100</v>
      </c>
      <c r="O29" s="1414" t="s">
        <v>1765</v>
      </c>
      <c r="P29" s="1414" t="s">
        <v>152</v>
      </c>
    </row>
    <row r="30" spans="1:16" ht="15">
      <c r="A30" s="1314">
        <v>18</v>
      </c>
      <c r="B30" s="1414" t="s">
        <v>1772</v>
      </c>
      <c r="C30" s="1414" t="s">
        <v>1773</v>
      </c>
      <c r="D30" s="1419">
        <v>170</v>
      </c>
      <c r="E30" s="1001" t="s">
        <v>1739</v>
      </c>
      <c r="F30" s="1420">
        <v>42479</v>
      </c>
      <c r="G30" s="1414" t="s">
        <v>192</v>
      </c>
      <c r="H30" s="1417">
        <v>20</v>
      </c>
      <c r="I30" s="1415">
        <v>200</v>
      </c>
      <c r="J30" s="1418">
        <v>170</v>
      </c>
      <c r="K30" s="1422">
        <v>230</v>
      </c>
      <c r="L30" s="1412">
        <f t="shared" si="1"/>
        <v>230</v>
      </c>
      <c r="M30" s="1413">
        <v>300</v>
      </c>
      <c r="N30" s="1413">
        <v>300</v>
      </c>
      <c r="O30" s="1414" t="s">
        <v>1765</v>
      </c>
      <c r="P30" s="1414" t="s">
        <v>140</v>
      </c>
    </row>
    <row r="31" spans="1:16" ht="15">
      <c r="A31" s="1314">
        <v>19</v>
      </c>
      <c r="B31" s="1414" t="s">
        <v>1774</v>
      </c>
      <c r="C31" s="1414" t="s">
        <v>1775</v>
      </c>
      <c r="D31" s="1419">
        <v>50</v>
      </c>
      <c r="E31" s="1001" t="s">
        <v>1776</v>
      </c>
      <c r="F31" s="1420">
        <v>41746</v>
      </c>
      <c r="G31" s="1414" t="s">
        <v>192</v>
      </c>
      <c r="H31" s="1417">
        <v>20</v>
      </c>
      <c r="I31" s="1415">
        <v>35</v>
      </c>
      <c r="J31" s="1418">
        <f t="shared" si="0"/>
        <v>35</v>
      </c>
      <c r="K31" s="1422">
        <v>30</v>
      </c>
      <c r="L31" s="1412">
        <f t="shared" si="1"/>
        <v>30</v>
      </c>
      <c r="M31" s="1413">
        <v>50</v>
      </c>
      <c r="N31" s="1413">
        <v>50</v>
      </c>
      <c r="O31" s="1414" t="s">
        <v>1765</v>
      </c>
      <c r="P31" s="1414" t="s">
        <v>202</v>
      </c>
    </row>
    <row r="32" spans="1:16" ht="15">
      <c r="A32" s="1314">
        <v>20</v>
      </c>
      <c r="B32" s="1414" t="s">
        <v>1777</v>
      </c>
      <c r="C32" s="1414" t="s">
        <v>1778</v>
      </c>
      <c r="D32" s="1419">
        <v>90</v>
      </c>
      <c r="E32" s="1001" t="s">
        <v>1779</v>
      </c>
      <c r="F32" s="1420">
        <v>42503</v>
      </c>
      <c r="G32" s="1414" t="s">
        <v>192</v>
      </c>
      <c r="H32" s="1417">
        <v>20</v>
      </c>
      <c r="I32" s="1415">
        <v>90</v>
      </c>
      <c r="J32" s="1418">
        <f t="shared" si="0"/>
        <v>90</v>
      </c>
      <c r="K32" s="1422">
        <v>110</v>
      </c>
      <c r="L32" s="1412">
        <f t="shared" si="1"/>
        <v>110</v>
      </c>
      <c r="M32" s="1413">
        <v>140</v>
      </c>
      <c r="N32" s="1413">
        <v>140</v>
      </c>
      <c r="O32" s="1414" t="s">
        <v>1765</v>
      </c>
      <c r="P32" s="1414" t="s">
        <v>204</v>
      </c>
    </row>
    <row r="33" spans="1:16" ht="15">
      <c r="A33" s="1314">
        <v>21</v>
      </c>
      <c r="B33" s="1414" t="s">
        <v>1780</v>
      </c>
      <c r="C33" s="1414" t="s">
        <v>1781</v>
      </c>
      <c r="D33" s="1419">
        <v>100</v>
      </c>
      <c r="E33" s="1001" t="s">
        <v>1782</v>
      </c>
      <c r="F33" s="1420">
        <v>41948</v>
      </c>
      <c r="G33" s="1414" t="s">
        <v>192</v>
      </c>
      <c r="H33" s="1417">
        <v>10</v>
      </c>
      <c r="I33" s="1415">
        <v>80</v>
      </c>
      <c r="J33" s="1418">
        <f t="shared" si="0"/>
        <v>80</v>
      </c>
      <c r="K33" s="1422">
        <v>95</v>
      </c>
      <c r="L33" s="1412">
        <f t="shared" si="1"/>
        <v>95</v>
      </c>
      <c r="M33" s="1413">
        <v>130</v>
      </c>
      <c r="N33" s="1413">
        <v>130</v>
      </c>
      <c r="O33" s="1414" t="s">
        <v>1765</v>
      </c>
      <c r="P33" s="1414" t="s">
        <v>206</v>
      </c>
    </row>
    <row r="34" spans="1:16" ht="15">
      <c r="A34" s="1314">
        <v>22</v>
      </c>
      <c r="B34" s="1414" t="s">
        <v>1760</v>
      </c>
      <c r="C34" s="1414" t="s">
        <v>1761</v>
      </c>
      <c r="D34" s="1419">
        <v>72</v>
      </c>
      <c r="E34" s="1001" t="s">
        <v>1762</v>
      </c>
      <c r="F34" s="1420">
        <v>42282</v>
      </c>
      <c r="G34" s="1414" t="s">
        <v>192</v>
      </c>
      <c r="H34" s="1417">
        <v>20</v>
      </c>
      <c r="I34" s="1415">
        <v>70</v>
      </c>
      <c r="J34" s="1418">
        <f t="shared" si="0"/>
        <v>70</v>
      </c>
      <c r="K34" s="1422">
        <v>75</v>
      </c>
      <c r="L34" s="1412">
        <f t="shared" si="1"/>
        <v>75</v>
      </c>
      <c r="M34" s="1413">
        <v>120</v>
      </c>
      <c r="N34" s="1413">
        <v>120</v>
      </c>
      <c r="O34" s="1414" t="s">
        <v>1765</v>
      </c>
      <c r="P34" s="1414" t="s">
        <v>209</v>
      </c>
    </row>
    <row r="35" spans="1:16" ht="16.5">
      <c r="A35" s="1314">
        <v>23</v>
      </c>
      <c r="B35" s="1414" t="s">
        <v>1783</v>
      </c>
      <c r="C35" s="1414" t="s">
        <v>1784</v>
      </c>
      <c r="D35" s="1419">
        <v>140</v>
      </c>
      <c r="E35" s="1001" t="s">
        <v>1785</v>
      </c>
      <c r="F35" s="1420">
        <v>42223</v>
      </c>
      <c r="G35" s="1414" t="s">
        <v>192</v>
      </c>
      <c r="H35" s="1417">
        <v>10</v>
      </c>
      <c r="I35" s="1415">
        <v>135</v>
      </c>
      <c r="J35" s="1418">
        <f t="shared" si="0"/>
        <v>135</v>
      </c>
      <c r="K35" s="1422">
        <v>150</v>
      </c>
      <c r="L35" s="1412">
        <f t="shared" si="1"/>
        <v>150</v>
      </c>
      <c r="M35" s="1423">
        <v>250</v>
      </c>
      <c r="N35" s="1423">
        <v>250</v>
      </c>
      <c r="O35" s="1414" t="s">
        <v>1765</v>
      </c>
      <c r="P35" s="1414" t="s">
        <v>216</v>
      </c>
    </row>
    <row r="36" spans="1:16" ht="15">
      <c r="A36" s="1314">
        <v>24</v>
      </c>
      <c r="B36" s="1414" t="s">
        <v>201</v>
      </c>
      <c r="C36" s="1414" t="s">
        <v>1786</v>
      </c>
      <c r="D36" s="1419">
        <v>80</v>
      </c>
      <c r="E36" s="1001" t="s">
        <v>1779</v>
      </c>
      <c r="F36" s="1420">
        <v>42503</v>
      </c>
      <c r="G36" s="1414" t="s">
        <v>192</v>
      </c>
      <c r="H36" s="1417">
        <v>7</v>
      </c>
      <c r="I36" s="1415">
        <v>80</v>
      </c>
      <c r="J36" s="1418">
        <f t="shared" si="0"/>
        <v>80</v>
      </c>
      <c r="K36" s="1422">
        <v>95</v>
      </c>
      <c r="L36" s="1412">
        <f t="shared" si="1"/>
        <v>95</v>
      </c>
      <c r="M36" s="1413">
        <v>120</v>
      </c>
      <c r="N36" s="1413">
        <v>120</v>
      </c>
      <c r="O36" s="1414" t="s">
        <v>1787</v>
      </c>
      <c r="P36" s="1414" t="s">
        <v>147</v>
      </c>
    </row>
    <row r="37" spans="1:16" ht="15">
      <c r="A37" s="1314">
        <v>25</v>
      </c>
      <c r="B37" s="1414" t="s">
        <v>1777</v>
      </c>
      <c r="C37" s="1414" t="s">
        <v>1778</v>
      </c>
      <c r="D37" s="1419">
        <v>90</v>
      </c>
      <c r="E37" s="1001" t="s">
        <v>1779</v>
      </c>
      <c r="F37" s="1420">
        <v>42503</v>
      </c>
      <c r="G37" s="1414" t="s">
        <v>192</v>
      </c>
      <c r="H37" s="1417">
        <v>9</v>
      </c>
      <c r="I37" s="1415">
        <v>90</v>
      </c>
      <c r="J37" s="1418">
        <f t="shared" si="0"/>
        <v>90</v>
      </c>
      <c r="K37" s="1422">
        <v>110</v>
      </c>
      <c r="L37" s="1412">
        <f t="shared" si="1"/>
        <v>110</v>
      </c>
      <c r="M37" s="1413">
        <v>140</v>
      </c>
      <c r="N37" s="1413">
        <v>140</v>
      </c>
      <c r="O37" s="1414" t="s">
        <v>1787</v>
      </c>
      <c r="P37" s="1414" t="s">
        <v>150</v>
      </c>
    </row>
    <row r="38" spans="1:16" ht="15">
      <c r="A38" s="1314">
        <v>26</v>
      </c>
      <c r="B38" s="1414" t="s">
        <v>1788</v>
      </c>
      <c r="C38" s="1414" t="s">
        <v>1789</v>
      </c>
      <c r="D38" s="1419">
        <v>180</v>
      </c>
      <c r="E38" s="1001" t="s">
        <v>1790</v>
      </c>
      <c r="F38" s="1420">
        <v>42431</v>
      </c>
      <c r="G38" s="1414" t="s">
        <v>192</v>
      </c>
      <c r="H38" s="1417">
        <v>1</v>
      </c>
      <c r="I38" s="1415">
        <v>200</v>
      </c>
      <c r="J38" s="1418">
        <v>180</v>
      </c>
      <c r="K38" s="1422">
        <v>230</v>
      </c>
      <c r="L38" s="1412">
        <f t="shared" si="1"/>
        <v>230</v>
      </c>
      <c r="M38" s="1413">
        <v>300</v>
      </c>
      <c r="N38" s="1413">
        <v>300</v>
      </c>
      <c r="O38" s="1414" t="s">
        <v>1787</v>
      </c>
      <c r="P38" s="1414" t="s">
        <v>152</v>
      </c>
    </row>
    <row r="39" spans="1:16" ht="15">
      <c r="A39" s="1314">
        <v>27</v>
      </c>
      <c r="B39" s="1414" t="s">
        <v>1791</v>
      </c>
      <c r="C39" s="1414" t="s">
        <v>1792</v>
      </c>
      <c r="D39" s="1419">
        <v>120</v>
      </c>
      <c r="E39" s="1001" t="s">
        <v>1776</v>
      </c>
      <c r="F39" s="1420">
        <v>41746</v>
      </c>
      <c r="G39" s="1414" t="s">
        <v>192</v>
      </c>
      <c r="H39" s="1417">
        <v>1</v>
      </c>
      <c r="I39" s="1415">
        <v>100</v>
      </c>
      <c r="J39" s="1418">
        <v>100</v>
      </c>
      <c r="K39" s="1422">
        <v>85</v>
      </c>
      <c r="L39" s="1412">
        <f t="shared" si="1"/>
        <v>85</v>
      </c>
      <c r="M39" s="1413">
        <v>150</v>
      </c>
      <c r="N39" s="1413">
        <v>150</v>
      </c>
      <c r="O39" s="1414" t="s">
        <v>1787</v>
      </c>
      <c r="P39" s="1414" t="s">
        <v>140</v>
      </c>
    </row>
    <row r="40" spans="1:16" ht="15">
      <c r="A40" s="1314">
        <v>28</v>
      </c>
      <c r="B40" s="1414" t="s">
        <v>1793</v>
      </c>
      <c r="C40" s="1414" t="s">
        <v>1794</v>
      </c>
      <c r="D40" s="1419">
        <v>50</v>
      </c>
      <c r="E40" s="1001" t="s">
        <v>1790</v>
      </c>
      <c r="F40" s="1420">
        <v>42431</v>
      </c>
      <c r="G40" s="1414" t="s">
        <v>192</v>
      </c>
      <c r="H40" s="1417">
        <v>2</v>
      </c>
      <c r="I40" s="1415">
        <v>55</v>
      </c>
      <c r="J40" s="1418">
        <v>50</v>
      </c>
      <c r="K40" s="1422">
        <v>55</v>
      </c>
      <c r="L40" s="1412">
        <f t="shared" si="1"/>
        <v>55</v>
      </c>
      <c r="M40" s="1413">
        <v>95</v>
      </c>
      <c r="N40" s="1413">
        <v>95</v>
      </c>
      <c r="O40" s="1414" t="s">
        <v>1787</v>
      </c>
      <c r="P40" s="1414" t="s">
        <v>202</v>
      </c>
    </row>
    <row r="41" spans="1:16" ht="15">
      <c r="A41" s="1314">
        <v>31</v>
      </c>
      <c r="B41" s="1424"/>
      <c r="C41" s="1424"/>
      <c r="D41" s="1425"/>
      <c r="E41" s="1426"/>
      <c r="F41" s="1416"/>
      <c r="G41" s="1427"/>
      <c r="H41" s="1428"/>
      <c r="I41" s="1415"/>
      <c r="J41" s="1418"/>
      <c r="K41" s="1429"/>
      <c r="L41" s="1430"/>
      <c r="M41" s="1431"/>
      <c r="N41" s="1432"/>
      <c r="O41" s="1001"/>
      <c r="P41" s="1001"/>
    </row>
    <row r="42" spans="1:16" s="954" customFormat="1" ht="13.5" thickBot="1">
      <c r="A42" s="1041" t="s">
        <v>58</v>
      </c>
      <c r="B42" s="1042"/>
      <c r="C42" s="1042"/>
      <c r="D42" s="95">
        <f>SUMPRODUCT(D13:D41, $H$13:$H$41)</f>
        <v>55658.200000000004</v>
      </c>
      <c r="E42" s="1045"/>
      <c r="F42" s="1045"/>
      <c r="G42" s="1045"/>
      <c r="H42" s="314">
        <f>SUM(H13:H41)</f>
        <v>355</v>
      </c>
      <c r="I42" s="95">
        <f t="shared" ref="I42:N42" si="2">SUMPRODUCT(I13:I41, $H$13:$H$41)</f>
        <v>52240</v>
      </c>
      <c r="J42" s="95">
        <f t="shared" si="2"/>
        <v>50133</v>
      </c>
      <c r="K42" s="95">
        <f t="shared" si="2"/>
        <v>51895</v>
      </c>
      <c r="L42" s="95">
        <f t="shared" si="2"/>
        <v>51895</v>
      </c>
      <c r="M42" s="95">
        <f t="shared" si="2"/>
        <v>93835</v>
      </c>
      <c r="N42" s="95">
        <f t="shared" si="2"/>
        <v>93835</v>
      </c>
      <c r="O42" s="95"/>
      <c r="P42" s="96"/>
    </row>
    <row r="43" spans="1:16">
      <c r="A43" s="1704" t="s">
        <v>59</v>
      </c>
      <c r="B43" s="1705"/>
      <c r="C43" s="1371"/>
      <c r="D43" s="1048"/>
      <c r="E43" s="1048"/>
      <c r="F43" s="1048"/>
      <c r="G43" s="1048"/>
      <c r="H43" s="315"/>
      <c r="I43" s="99"/>
      <c r="J43" s="100"/>
      <c r="K43" s="101"/>
      <c r="L43" s="99"/>
      <c r="M43" s="99"/>
      <c r="N43" s="100"/>
      <c r="O43" s="99"/>
      <c r="P43" s="99"/>
    </row>
    <row r="44" spans="1:16">
      <c r="A44" s="1372" t="s">
        <v>60</v>
      </c>
      <c r="B44" s="1373"/>
      <c r="C44" s="1371"/>
      <c r="D44" s="1048"/>
      <c r="E44" s="1048"/>
      <c r="F44" s="1048"/>
      <c r="G44" s="1048"/>
      <c r="H44" s="315"/>
      <c r="I44" s="104"/>
      <c r="J44" s="105" t="s">
        <v>61</v>
      </c>
      <c r="K44" s="106"/>
      <c r="L44" s="104" t="s">
        <v>61</v>
      </c>
      <c r="M44" s="104"/>
      <c r="N44" s="105" t="s">
        <v>61</v>
      </c>
      <c r="O44" s="104"/>
      <c r="P44" s="104"/>
    </row>
    <row r="45" spans="1:16">
      <c r="A45" s="1706" t="s">
        <v>62</v>
      </c>
      <c r="B45" s="1707"/>
      <c r="C45" s="1371"/>
      <c r="D45" s="1048"/>
      <c r="E45" s="1048"/>
      <c r="F45" s="1048"/>
      <c r="G45" s="1048"/>
      <c r="H45" s="315"/>
      <c r="I45" s="104"/>
      <c r="J45" s="105">
        <v>1000</v>
      </c>
      <c r="K45" s="106"/>
      <c r="L45" s="104">
        <v>1500</v>
      </c>
      <c r="M45" s="104"/>
      <c r="N45" s="105"/>
      <c r="O45" s="104"/>
      <c r="P45" s="104"/>
    </row>
    <row r="46" spans="1:16" ht="12.95" customHeight="1">
      <c r="A46" s="1053" t="s">
        <v>1795</v>
      </c>
      <c r="B46" s="1054"/>
      <c r="C46" s="1054"/>
      <c r="D46" s="1054"/>
      <c r="E46" s="1054"/>
      <c r="F46" s="1054"/>
      <c r="G46" s="1054"/>
      <c r="H46" s="1433"/>
      <c r="I46" s="1057">
        <v>0.125</v>
      </c>
      <c r="J46" s="1057">
        <v>0.125</v>
      </c>
      <c r="K46" s="1057"/>
      <c r="L46" s="1057"/>
      <c r="M46" s="1057">
        <v>0.125</v>
      </c>
      <c r="N46" s="1057">
        <v>0.125</v>
      </c>
      <c r="O46" s="1057"/>
      <c r="P46" s="1057"/>
    </row>
    <row r="47" spans="1:16" ht="12.95" customHeight="1">
      <c r="A47" s="1053"/>
      <c r="B47" s="1054" t="s">
        <v>64</v>
      </c>
      <c r="C47" s="1054"/>
      <c r="D47" s="1058"/>
      <c r="E47" s="1058"/>
      <c r="F47" s="1058"/>
      <c r="G47" s="1058"/>
      <c r="H47" s="1434"/>
      <c r="I47" s="113">
        <f>(I42+I43+I44+I45)*I46</f>
        <v>6530</v>
      </c>
      <c r="J47" s="114">
        <f>(J42+J43+J45)*J46</f>
        <v>6391.625</v>
      </c>
      <c r="K47" s="115">
        <f t="shared" ref="K47" si="3">(K42+K43+K44+K45)*K46</f>
        <v>0</v>
      </c>
      <c r="L47" s="113">
        <f t="shared" ref="L47" si="4">(L42+L43+L45)*L46</f>
        <v>0</v>
      </c>
      <c r="M47" s="113">
        <f>(M42+M43+M44+M45)*M46</f>
        <v>11729.375</v>
      </c>
      <c r="N47" s="114">
        <f>(N42+N43+N45)*N46</f>
        <v>11729.375</v>
      </c>
      <c r="O47" s="113"/>
      <c r="P47" s="113"/>
    </row>
    <row r="48" spans="1:16">
      <c r="A48" s="1706" t="s">
        <v>65</v>
      </c>
      <c r="B48" s="1707"/>
      <c r="C48" s="1373"/>
      <c r="D48" s="1058"/>
      <c r="E48" s="1058"/>
      <c r="F48" s="1058"/>
      <c r="G48" s="1060"/>
      <c r="H48" s="1434"/>
      <c r="I48" s="118"/>
      <c r="J48" s="118"/>
      <c r="K48" s="118">
        <v>5.5E-2</v>
      </c>
      <c r="L48" s="118">
        <v>5.5E-2</v>
      </c>
      <c r="M48" s="118">
        <v>5.5E-2</v>
      </c>
      <c r="N48" s="118">
        <v>5.5E-2</v>
      </c>
      <c r="O48" s="118"/>
      <c r="P48" s="118"/>
    </row>
    <row r="49" spans="1:16" ht="12.95" customHeight="1">
      <c r="A49" s="1372"/>
      <c r="B49" s="1373" t="s">
        <v>66</v>
      </c>
      <c r="C49" s="1373"/>
      <c r="D49" s="1058"/>
      <c r="E49" s="1058"/>
      <c r="F49" s="1058"/>
      <c r="G49" s="1060"/>
      <c r="H49" s="1434"/>
      <c r="I49" s="113">
        <f>(I47+I43+I44+I45+I42)*I48</f>
        <v>0</v>
      </c>
      <c r="J49" s="114">
        <f>(J47+J43+J45+J42)*J48</f>
        <v>0</v>
      </c>
      <c r="K49" s="115">
        <f t="shared" ref="K49" si="5">(K47+K43+K44+K45+K42)*K48</f>
        <v>2854.2249999999999</v>
      </c>
      <c r="L49" s="113">
        <f t="shared" ref="L49" si="6">(L47+L43+L45+L42)*L48</f>
        <v>2936.7249999999999</v>
      </c>
      <c r="M49" s="113">
        <f>(M47+M43+M44+M45+M42)*M48</f>
        <v>5806.0406249999996</v>
      </c>
      <c r="N49" s="114">
        <f>(N47+N43+N45+N42)*N48</f>
        <v>5806.0406249999996</v>
      </c>
      <c r="O49" s="113"/>
      <c r="P49" s="113"/>
    </row>
    <row r="50" spans="1:16" ht="12.95" customHeight="1">
      <c r="A50" s="1372" t="s">
        <v>67</v>
      </c>
      <c r="B50" s="1373"/>
      <c r="C50" s="1373"/>
      <c r="D50" s="1058"/>
      <c r="E50" s="1058"/>
      <c r="F50" s="1058"/>
      <c r="G50" s="1060"/>
      <c r="H50" s="1434"/>
      <c r="I50" s="118">
        <v>0.02</v>
      </c>
      <c r="J50" s="118">
        <v>0.02</v>
      </c>
      <c r="K50" s="118"/>
      <c r="L50" s="118"/>
      <c r="M50" s="118"/>
      <c r="N50" s="118"/>
      <c r="O50" s="118"/>
      <c r="P50" s="118"/>
    </row>
    <row r="51" spans="1:16" ht="12.95" customHeight="1">
      <c r="A51" s="1372"/>
      <c r="B51" s="1373" t="s">
        <v>68</v>
      </c>
      <c r="C51" s="1373"/>
      <c r="D51" s="1058"/>
      <c r="E51" s="1058"/>
      <c r="F51" s="1058"/>
      <c r="G51" s="1060"/>
      <c r="H51" s="1434"/>
      <c r="I51" s="113">
        <f>(I47+I43+I44+I45+I42)*I50</f>
        <v>1175.4000000000001</v>
      </c>
      <c r="J51" s="114">
        <f>(J47+J43+J45+J42)*J50</f>
        <v>1150.4925000000001</v>
      </c>
      <c r="K51" s="115">
        <f t="shared" ref="K51" si="7">(K47+K43+K44+K45+K42)*K50</f>
        <v>0</v>
      </c>
      <c r="L51" s="113">
        <f t="shared" ref="L51" si="8">(L47+L43+L45+L42)*L50</f>
        <v>0</v>
      </c>
      <c r="M51" s="113">
        <f>(M47+M43+M44+M45+M42)*M50</f>
        <v>0</v>
      </c>
      <c r="N51" s="114">
        <f>(N47+N43+N45+N42)*N50</f>
        <v>0</v>
      </c>
      <c r="O51" s="113"/>
      <c r="P51" s="113"/>
    </row>
    <row r="52" spans="1:16" ht="12.95" customHeight="1">
      <c r="A52" s="1706" t="s">
        <v>69</v>
      </c>
      <c r="B52" s="1707"/>
      <c r="C52" s="1373"/>
      <c r="D52" s="1058"/>
      <c r="E52" s="1058"/>
      <c r="F52" s="1058"/>
      <c r="G52" s="1062"/>
      <c r="H52" s="1434"/>
      <c r="I52" s="118"/>
      <c r="J52" s="121"/>
      <c r="K52" s="119"/>
      <c r="L52" s="118"/>
      <c r="M52" s="118"/>
      <c r="N52" s="121"/>
      <c r="O52" s="118"/>
      <c r="P52" s="118"/>
    </row>
    <row r="53" spans="1:16" ht="12.95" customHeight="1">
      <c r="A53" s="1374"/>
      <c r="B53" s="1375" t="s">
        <v>70</v>
      </c>
      <c r="C53" s="1375"/>
      <c r="D53" s="1065"/>
      <c r="E53" s="1065"/>
      <c r="F53" s="1065"/>
      <c r="G53" s="1067"/>
      <c r="H53" s="1435"/>
      <c r="I53" s="113">
        <f t="shared" ref="I53:N53" si="9">I42*I52</f>
        <v>0</v>
      </c>
      <c r="J53" s="114">
        <f t="shared" si="9"/>
        <v>0</v>
      </c>
      <c r="K53" s="115">
        <f t="shared" si="9"/>
        <v>0</v>
      </c>
      <c r="L53" s="113">
        <f t="shared" si="9"/>
        <v>0</v>
      </c>
      <c r="M53" s="113">
        <f t="shared" si="9"/>
        <v>0</v>
      </c>
      <c r="N53" s="114">
        <f t="shared" si="9"/>
        <v>0</v>
      </c>
      <c r="O53" s="113"/>
      <c r="P53" s="113"/>
    </row>
    <row r="54" spans="1:16" ht="13.5" thickBot="1">
      <c r="A54" s="1708"/>
      <c r="B54" s="1709"/>
      <c r="C54" s="1375"/>
      <c r="D54" s="1065"/>
      <c r="E54" s="1065"/>
      <c r="F54" s="1065"/>
      <c r="G54" s="1065"/>
      <c r="H54" s="319"/>
      <c r="I54" s="128"/>
      <c r="J54" s="129"/>
      <c r="K54" s="130"/>
      <c r="L54" s="128"/>
      <c r="M54" s="128"/>
      <c r="N54" s="129"/>
      <c r="O54" s="128"/>
      <c r="P54" s="128"/>
    </row>
    <row r="55" spans="1:16" ht="13.5" thickBot="1">
      <c r="A55" s="1069" t="s">
        <v>71</v>
      </c>
      <c r="B55" s="1070"/>
      <c r="C55" s="1070"/>
      <c r="D55" s="1070"/>
      <c r="E55" s="1070"/>
      <c r="F55" s="1070"/>
      <c r="G55" s="1070"/>
      <c r="H55" s="1436"/>
      <c r="I55" s="1073">
        <f>SUM(I42:I54)</f>
        <v>59945.544999999998</v>
      </c>
      <c r="J55" s="1074">
        <f t="shared" ref="J55:L55" si="10">SUM(J42:J54)</f>
        <v>58675.262499999997</v>
      </c>
      <c r="K55" s="1073">
        <f>SUM(K42,K43,K45,K47,K49)</f>
        <v>54749.224999999999</v>
      </c>
      <c r="L55" s="1074">
        <f t="shared" si="10"/>
        <v>56331.78</v>
      </c>
      <c r="M55" s="1073">
        <f>SUM(M42:M54)</f>
        <v>111370.59562499999</v>
      </c>
      <c r="N55" s="1074">
        <f t="shared" ref="N55" si="11">SUM(N42:N54)</f>
        <v>111370.59562499999</v>
      </c>
      <c r="O55" s="1437"/>
      <c r="P55" s="1437"/>
    </row>
    <row r="56" spans="1:16" s="1080" customFormat="1" ht="13.5" thickBot="1">
      <c r="A56" s="1075"/>
      <c r="B56" s="1076"/>
      <c r="C56" s="1076"/>
      <c r="D56" s="1076"/>
      <c r="E56" s="1076"/>
      <c r="F56" s="1076"/>
      <c r="G56" s="1076"/>
      <c r="H56" s="1438"/>
      <c r="I56" s="1078"/>
      <c r="J56" s="1079"/>
      <c r="K56" s="1078"/>
      <c r="L56" s="1079"/>
      <c r="M56" s="1078"/>
      <c r="N56" s="1079"/>
      <c r="O56" s="1331"/>
      <c r="P56" s="1331"/>
    </row>
    <row r="57" spans="1:16" s="954" customFormat="1" ht="13.5" thickBot="1">
      <c r="A57" s="1069" t="s">
        <v>72</v>
      </c>
      <c r="B57" s="1070"/>
      <c r="C57" s="1070"/>
      <c r="D57" s="1070"/>
      <c r="E57" s="1070"/>
      <c r="F57" s="1070"/>
      <c r="G57" s="1070"/>
      <c r="H57" s="1436"/>
      <c r="I57" s="1074">
        <f>I42+I51+I43+I45+I44</f>
        <v>53415.4</v>
      </c>
      <c r="J57" s="1081">
        <f>J42+J51</f>
        <v>51283.4925</v>
      </c>
      <c r="K57" s="1074">
        <f>K42+K45+K53</f>
        <v>51895</v>
      </c>
      <c r="L57" s="1074">
        <f>L42+L45+L53</f>
        <v>53395</v>
      </c>
      <c r="M57" s="1074">
        <f>M42+M51+M43+M45+M44</f>
        <v>93835</v>
      </c>
      <c r="N57" s="1081">
        <f t="shared" ref="N57" si="12">N42+N51+N43+N45</f>
        <v>93835</v>
      </c>
      <c r="O57" s="1439"/>
      <c r="P57" s="1439"/>
    </row>
    <row r="58" spans="1:16" ht="13.5" thickBot="1">
      <c r="A58" s="1082"/>
      <c r="B58" s="1083"/>
      <c r="C58" s="1083"/>
      <c r="D58" s="1084"/>
      <c r="E58" s="1084"/>
      <c r="F58" s="1084"/>
      <c r="G58" s="1084"/>
      <c r="H58" s="322"/>
      <c r="I58" s="1108"/>
      <c r="J58" s="1440"/>
      <c r="K58" s="1108"/>
      <c r="L58" s="1441"/>
      <c r="M58" s="1108"/>
      <c r="N58" s="1440"/>
      <c r="O58" s="1442"/>
      <c r="P58" s="1442"/>
    </row>
    <row r="59" spans="1:16">
      <c r="A59" s="1086" t="s">
        <v>73</v>
      </c>
      <c r="B59" s="1087" t="s">
        <v>74</v>
      </c>
      <c r="C59" s="1089"/>
      <c r="D59" s="1088"/>
      <c r="E59" s="1088"/>
      <c r="F59" s="1088"/>
      <c r="G59" s="1088"/>
      <c r="H59" s="323"/>
      <c r="I59" s="1090" t="s">
        <v>328</v>
      </c>
      <c r="J59" s="1090" t="s">
        <v>328</v>
      </c>
      <c r="K59" s="1090" t="s">
        <v>328</v>
      </c>
      <c r="L59" s="1090" t="s">
        <v>328</v>
      </c>
      <c r="M59" s="1090" t="s">
        <v>328</v>
      </c>
      <c r="N59" s="1090" t="s">
        <v>328</v>
      </c>
      <c r="O59" s="1443"/>
      <c r="P59" s="1443"/>
    </row>
    <row r="60" spans="1:16" ht="13.5" thickBot="1">
      <c r="A60" s="1091" t="s">
        <v>79</v>
      </c>
      <c r="B60" s="1092" t="s">
        <v>80</v>
      </c>
      <c r="C60" s="1444"/>
      <c r="D60" s="1093"/>
      <c r="E60" s="1093"/>
      <c r="F60" s="1093"/>
      <c r="G60" s="1093"/>
      <c r="H60" s="324"/>
      <c r="I60" s="1090" t="s">
        <v>165</v>
      </c>
      <c r="J60" s="1445" t="s">
        <v>82</v>
      </c>
      <c r="K60" s="1446" t="s">
        <v>82</v>
      </c>
      <c r="L60" s="1447" t="s">
        <v>82</v>
      </c>
      <c r="M60" s="1447" t="s">
        <v>82</v>
      </c>
      <c r="N60" s="1447" t="s">
        <v>82</v>
      </c>
      <c r="O60" s="1090"/>
      <c r="P60" s="1090"/>
    </row>
    <row r="61" spans="1:16" ht="63.75">
      <c r="A61" s="1097" t="s">
        <v>85</v>
      </c>
      <c r="B61" s="1098" t="s">
        <v>86</v>
      </c>
      <c r="C61" s="1098"/>
      <c r="D61" s="1099"/>
      <c r="E61" s="1099"/>
      <c r="F61" s="1099"/>
      <c r="G61" s="1099"/>
      <c r="H61" s="325"/>
      <c r="I61" s="1448" t="s">
        <v>167</v>
      </c>
      <c r="J61" s="1448" t="s">
        <v>1796</v>
      </c>
      <c r="K61" s="1448" t="s">
        <v>280</v>
      </c>
      <c r="L61" s="1448" t="s">
        <v>168</v>
      </c>
      <c r="M61" s="1448" t="s">
        <v>167</v>
      </c>
      <c r="N61" s="1448" t="s">
        <v>1797</v>
      </c>
      <c r="O61" s="1100"/>
      <c r="P61" s="1100"/>
    </row>
    <row r="62" spans="1:16">
      <c r="A62" s="1101" t="s">
        <v>90</v>
      </c>
      <c r="B62" s="1099" t="s">
        <v>91</v>
      </c>
      <c r="C62" s="1099"/>
      <c r="D62" s="1099"/>
      <c r="E62" s="1099"/>
      <c r="F62" s="1099"/>
      <c r="G62" s="1099"/>
      <c r="H62" s="325"/>
      <c r="I62" s="1448" t="s">
        <v>92</v>
      </c>
      <c r="J62" s="1449" t="s">
        <v>351</v>
      </c>
      <c r="K62" s="1449" t="s">
        <v>92</v>
      </c>
      <c r="L62" s="1449" t="s">
        <v>92</v>
      </c>
      <c r="M62" s="1449" t="s">
        <v>92</v>
      </c>
      <c r="N62" s="1449" t="s">
        <v>92</v>
      </c>
      <c r="O62" s="1100"/>
      <c r="P62" s="1100"/>
    </row>
    <row r="63" spans="1:16" ht="39.950000000000003" customHeight="1">
      <c r="A63" s="1101" t="s">
        <v>93</v>
      </c>
      <c r="B63" s="1098" t="s">
        <v>94</v>
      </c>
      <c r="C63" s="1098"/>
      <c r="D63" s="1099"/>
      <c r="E63" s="1099"/>
      <c r="F63" s="1099"/>
      <c r="G63" s="1099"/>
      <c r="H63" s="325"/>
      <c r="I63" s="1450"/>
      <c r="J63" s="1451"/>
      <c r="K63" s="1450"/>
      <c r="L63" s="1452"/>
      <c r="M63" s="1452"/>
      <c r="N63" s="1452"/>
      <c r="O63" s="1102"/>
      <c r="P63" s="1102"/>
    </row>
    <row r="64" spans="1:16" ht="140.25">
      <c r="A64" s="1101" t="s">
        <v>95</v>
      </c>
      <c r="B64" s="1098" t="s">
        <v>96</v>
      </c>
      <c r="C64" s="1098"/>
      <c r="D64" s="1099"/>
      <c r="E64" s="1099"/>
      <c r="F64" s="1099"/>
      <c r="G64" s="1099"/>
      <c r="H64" s="325"/>
      <c r="I64" s="1448" t="s">
        <v>97</v>
      </c>
      <c r="J64" s="1448" t="s">
        <v>97</v>
      </c>
      <c r="K64" s="1448" t="s">
        <v>97</v>
      </c>
      <c r="L64" s="1448" t="s">
        <v>98</v>
      </c>
      <c r="M64" s="1448" t="s">
        <v>98</v>
      </c>
      <c r="N64" s="1448" t="s">
        <v>98</v>
      </c>
      <c r="O64" s="1102"/>
      <c r="P64" s="1102"/>
    </row>
    <row r="65" spans="1:16" ht="64.5" thickBot="1">
      <c r="A65" s="1104" t="s">
        <v>99</v>
      </c>
      <c r="B65" s="1105" t="s">
        <v>100</v>
      </c>
      <c r="C65" s="1105"/>
      <c r="D65" s="1106"/>
      <c r="E65" s="1106"/>
      <c r="F65" s="1106"/>
      <c r="G65" s="1106"/>
      <c r="H65" s="326"/>
      <c r="I65" s="1453" t="s">
        <v>101</v>
      </c>
      <c r="J65" s="1453" t="s">
        <v>101</v>
      </c>
      <c r="K65" s="1453" t="s">
        <v>101</v>
      </c>
      <c r="L65" s="1453" t="s">
        <v>101</v>
      </c>
      <c r="M65" s="1453" t="s">
        <v>101</v>
      </c>
      <c r="N65" s="1453" t="s">
        <v>101</v>
      </c>
      <c r="O65" s="1454"/>
      <c r="P65" s="1454"/>
    </row>
    <row r="66" spans="1:16" ht="30" customHeight="1">
      <c r="A66" s="1710" t="s">
        <v>102</v>
      </c>
      <c r="B66" s="1711"/>
      <c r="C66" s="1711"/>
      <c r="D66" s="1712"/>
      <c r="E66" s="1376"/>
      <c r="F66" s="1376"/>
      <c r="G66" s="1695" t="s">
        <v>103</v>
      </c>
      <c r="H66" s="1696"/>
      <c r="I66" s="1696"/>
      <c r="J66" s="1696"/>
      <c r="K66" s="1697"/>
      <c r="L66" s="1698" t="s">
        <v>104</v>
      </c>
      <c r="M66" s="1699"/>
      <c r="N66" s="1699"/>
      <c r="O66" s="1699"/>
      <c r="P66" s="1700"/>
    </row>
    <row r="67" spans="1:16" ht="13.5" thickBot="1">
      <c r="A67" s="1710"/>
      <c r="B67" s="1711"/>
      <c r="C67" s="1711"/>
      <c r="D67" s="1712"/>
      <c r="E67" s="1376"/>
      <c r="F67" s="1376"/>
      <c r="G67" s="1695"/>
      <c r="H67" s="1696"/>
      <c r="I67" s="1696"/>
      <c r="J67" s="1696"/>
      <c r="K67" s="1697"/>
      <c r="L67" s="1701"/>
      <c r="M67" s="1702"/>
      <c r="N67" s="1702"/>
      <c r="O67" s="1702"/>
      <c r="P67" s="1703"/>
    </row>
    <row r="68" spans="1:16">
      <c r="A68" s="1108"/>
      <c r="B68" s="1109"/>
      <c r="C68" s="1109"/>
      <c r="D68" s="1110"/>
      <c r="E68" s="1110"/>
      <c r="F68" s="1110"/>
      <c r="G68" s="1110"/>
      <c r="H68" s="328"/>
      <c r="I68" s="1110"/>
      <c r="J68" s="1110"/>
      <c r="K68" s="1110"/>
      <c r="L68" s="1110"/>
      <c r="M68" s="1110"/>
      <c r="N68" s="1110"/>
      <c r="O68" s="1110"/>
      <c r="P68" s="1455"/>
    </row>
    <row r="69" spans="1:16">
      <c r="A69" s="1112"/>
      <c r="B69" s="1113"/>
      <c r="C69" s="1113"/>
      <c r="D69" s="1111"/>
      <c r="E69" s="1111"/>
      <c r="F69" s="1111"/>
      <c r="G69" s="1111"/>
      <c r="H69" s="329"/>
      <c r="I69" s="1111"/>
      <c r="J69" s="1111"/>
      <c r="K69" s="1111"/>
      <c r="L69" s="1111"/>
      <c r="M69" s="1111"/>
      <c r="N69" s="1111"/>
      <c r="O69" s="1111"/>
      <c r="P69" s="1456"/>
    </row>
    <row r="70" spans="1:16">
      <c r="A70" s="1112"/>
      <c r="B70" s="972" t="s">
        <v>105</v>
      </c>
      <c r="C70" s="972"/>
      <c r="D70" s="974"/>
      <c r="E70" s="974"/>
      <c r="F70" s="974"/>
      <c r="G70" s="974"/>
      <c r="H70" s="1457" t="s">
        <v>106</v>
      </c>
      <c r="I70" s="1111"/>
      <c r="J70" s="974"/>
      <c r="K70" s="974"/>
      <c r="L70" s="974"/>
      <c r="M70" s="1111"/>
      <c r="N70" s="1111"/>
      <c r="O70" s="1111"/>
      <c r="P70" s="1456"/>
    </row>
    <row r="71" spans="1:16" ht="13.5" thickBot="1">
      <c r="A71" s="1114"/>
      <c r="B71" s="1115"/>
      <c r="C71" s="1115"/>
      <c r="D71" s="1116"/>
      <c r="E71" s="1116"/>
      <c r="F71" s="1116"/>
      <c r="G71" s="1116"/>
      <c r="H71" s="1458"/>
      <c r="I71" s="1116"/>
      <c r="J71" s="1116"/>
      <c r="K71" s="1116"/>
      <c r="L71" s="1116"/>
      <c r="M71" s="1116"/>
      <c r="N71" s="1116"/>
      <c r="O71" s="1116"/>
      <c r="P71" s="1459"/>
    </row>
  </sheetData>
  <mergeCells count="34">
    <mergeCell ref="A66:D67"/>
    <mergeCell ref="A43:B43"/>
    <mergeCell ref="A45:B45"/>
    <mergeCell ref="A48:B48"/>
    <mergeCell ref="A52:B52"/>
    <mergeCell ref="A54:B54"/>
    <mergeCell ref="I11:J11"/>
    <mergeCell ref="K11:L11"/>
    <mergeCell ref="M11:N11"/>
    <mergeCell ref="G66:K67"/>
    <mergeCell ref="L66:P67"/>
    <mergeCell ref="K8:L9"/>
    <mergeCell ref="M8:N9"/>
    <mergeCell ref="O8:P9"/>
    <mergeCell ref="I10:J10"/>
    <mergeCell ref="K10:L10"/>
    <mergeCell ref="M10:N10"/>
    <mergeCell ref="O10:P10"/>
    <mergeCell ref="A2:P2"/>
    <mergeCell ref="A3:P3"/>
    <mergeCell ref="H4:H5"/>
    <mergeCell ref="I4:J4"/>
    <mergeCell ref="A7:A12"/>
    <mergeCell ref="B7:B12"/>
    <mergeCell ref="D7:D12"/>
    <mergeCell ref="E7:E12"/>
    <mergeCell ref="F7:F12"/>
    <mergeCell ref="G7:G12"/>
    <mergeCell ref="H7:H12"/>
    <mergeCell ref="I7:J7"/>
    <mergeCell ref="K7:L7"/>
    <mergeCell ref="M7:N7"/>
    <mergeCell ref="O7:P7"/>
    <mergeCell ref="I8:J9"/>
  </mergeCells>
  <pageMargins left="0.25" right="0.25" top="0.75" bottom="0.75" header="0.3" footer="0.3"/>
  <pageSetup scale="5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115</vt:i4>
      </vt:variant>
    </vt:vector>
  </HeadingPairs>
  <TitlesOfParts>
    <vt:vector size="148" baseType="lpstr">
      <vt:lpstr>APR-16 to Mar-17</vt:lpstr>
      <vt:lpstr>backup data</vt:lpstr>
      <vt:lpstr>QCS- Y-Strainer</vt:lpstr>
      <vt:lpstr>QCS</vt:lpstr>
      <vt:lpstr>IBR CS Pipes LPO data</vt:lpstr>
      <vt:lpstr>QCS-IBR fittings</vt:lpstr>
      <vt:lpstr>QCS- IBR CS pipes</vt:lpstr>
      <vt:lpstr>Sheet2</vt:lpstr>
      <vt:lpstr>QCS- flange-fittings</vt:lpstr>
      <vt:lpstr>DIAPHRAGM -Crane</vt:lpstr>
      <vt:lpstr>QCS- MOBILE DTE-846</vt:lpstr>
      <vt:lpstr>QCS- BPCL HYDROL &amp; Enklo-HPCL</vt:lpstr>
      <vt:lpstr>QCS-Steam seperator</vt:lpstr>
      <vt:lpstr>QCS- Str.steel</vt:lpstr>
      <vt:lpstr>Mercury LPO analysis</vt:lpstr>
      <vt:lpstr>E-16 Estimate</vt:lpstr>
      <vt:lpstr>QCS-E-16A Tube Bundle</vt:lpstr>
      <vt:lpstr>QCS- Gate Valves (apr)</vt:lpstr>
      <vt:lpstr>QCS- Gate Valves</vt:lpstr>
      <vt:lpstr>HT &amp; LT Cables discount working</vt:lpstr>
      <vt:lpstr>QCS- bellowseal Globe valve</vt:lpstr>
      <vt:lpstr>QCS- CS Pipes</vt:lpstr>
      <vt:lpstr>QCS- Forge fittings (final qty)</vt:lpstr>
      <vt:lpstr>QCS- TF Gaskets</vt:lpstr>
      <vt:lpstr>QCS- plant Gaskets</vt:lpstr>
      <vt:lpstr>QCS- TF Nut-Bolts</vt:lpstr>
      <vt:lpstr>Mech.seal_EBIPL rate analysis</vt:lpstr>
      <vt:lpstr>PO30k24386-EBPIL rate analysis</vt:lpstr>
      <vt:lpstr>QCS-Shims</vt:lpstr>
      <vt:lpstr>E-365 plate type HEX</vt:lpstr>
      <vt:lpstr>QCS- pipe-flanges-fittings</vt:lpstr>
      <vt:lpstr>QCS- Valves</vt:lpstr>
      <vt:lpstr>Sheet1</vt:lpstr>
      <vt:lpstr>'DIAPHRAGM -Crane'!DATA1</vt:lpstr>
      <vt:lpstr>DATA1</vt:lpstr>
      <vt:lpstr>'DIAPHRAGM -Crane'!DATA10</vt:lpstr>
      <vt:lpstr>DATA10</vt:lpstr>
      <vt:lpstr>'DIAPHRAGM -Crane'!DATA11</vt:lpstr>
      <vt:lpstr>DATA11</vt:lpstr>
      <vt:lpstr>'DIAPHRAGM -Crane'!DATA12</vt:lpstr>
      <vt:lpstr>DATA12</vt:lpstr>
      <vt:lpstr>'DIAPHRAGM -Crane'!DATA13</vt:lpstr>
      <vt:lpstr>DATA13</vt:lpstr>
      <vt:lpstr>'DIAPHRAGM -Crane'!DATA14</vt:lpstr>
      <vt:lpstr>DATA14</vt:lpstr>
      <vt:lpstr>'DIAPHRAGM -Crane'!DATA15</vt:lpstr>
      <vt:lpstr>DATA15</vt:lpstr>
      <vt:lpstr>'DIAPHRAGM -Crane'!DATA16</vt:lpstr>
      <vt:lpstr>DATA16</vt:lpstr>
      <vt:lpstr>'DIAPHRAGM -Crane'!DATA17</vt:lpstr>
      <vt:lpstr>DATA17</vt:lpstr>
      <vt:lpstr>'DIAPHRAGM -Crane'!DATA18</vt:lpstr>
      <vt:lpstr>DATA18</vt:lpstr>
      <vt:lpstr>DATA19</vt:lpstr>
      <vt:lpstr>'DIAPHRAGM -Crane'!DATA2</vt:lpstr>
      <vt:lpstr>DATA2</vt:lpstr>
      <vt:lpstr>DATA20</vt:lpstr>
      <vt:lpstr>DATA21</vt:lpstr>
      <vt:lpstr>DATA22</vt:lpstr>
      <vt:lpstr>DATA23</vt:lpstr>
      <vt:lpstr>DATA24</vt:lpstr>
      <vt:lpstr>DATA25</vt:lpstr>
      <vt:lpstr>DATA26</vt:lpstr>
      <vt:lpstr>DATA27</vt:lpstr>
      <vt:lpstr>DATA28</vt:lpstr>
      <vt:lpstr>DATA29</vt:lpstr>
      <vt:lpstr>'DIAPHRAGM -Crane'!DATA3</vt:lpstr>
      <vt:lpstr>DATA3</vt:lpstr>
      <vt:lpstr>DATA30</vt:lpstr>
      <vt:lpstr>DATA31</vt:lpstr>
      <vt:lpstr>DATA32</vt:lpstr>
      <vt:lpstr>DATA33</vt:lpstr>
      <vt:lpstr>DATA34</vt:lpstr>
      <vt:lpstr>DATA35</vt:lpstr>
      <vt:lpstr>DATA36</vt:lpstr>
      <vt:lpstr>DATA37</vt:lpstr>
      <vt:lpstr>DATA38</vt:lpstr>
      <vt:lpstr>DATA39</vt:lpstr>
      <vt:lpstr>'DIAPHRAGM -Crane'!DATA4</vt:lpstr>
      <vt:lpstr>DATA4</vt:lpstr>
      <vt:lpstr>DATA40</vt:lpstr>
      <vt:lpstr>DATA41</vt:lpstr>
      <vt:lpstr>DATA42</vt:lpstr>
      <vt:lpstr>DATA43</vt:lpstr>
      <vt:lpstr>DATA44</vt:lpstr>
      <vt:lpstr>DATA45</vt:lpstr>
      <vt:lpstr>DATA46</vt:lpstr>
      <vt:lpstr>DATA47</vt:lpstr>
      <vt:lpstr>DATA48</vt:lpstr>
      <vt:lpstr>DATA49</vt:lpstr>
      <vt:lpstr>'DIAPHRAGM -Crane'!DATA5</vt:lpstr>
      <vt:lpstr>DATA5</vt:lpstr>
      <vt:lpstr>DATA50</vt:lpstr>
      <vt:lpstr>DATA51</vt:lpstr>
      <vt:lpstr>DATA52</vt:lpstr>
      <vt:lpstr>DATA53</vt:lpstr>
      <vt:lpstr>DATA54</vt:lpstr>
      <vt:lpstr>DATA55</vt:lpstr>
      <vt:lpstr>DATA56</vt:lpstr>
      <vt:lpstr>DATA57</vt:lpstr>
      <vt:lpstr>DATA58</vt:lpstr>
      <vt:lpstr>DATA59</vt:lpstr>
      <vt:lpstr>'DIAPHRAGM -Crane'!DATA6</vt:lpstr>
      <vt:lpstr>DATA6</vt:lpstr>
      <vt:lpstr>DATA60</vt:lpstr>
      <vt:lpstr>DATA61</vt:lpstr>
      <vt:lpstr>DATA62</vt:lpstr>
      <vt:lpstr>DATA63</vt:lpstr>
      <vt:lpstr>DATA64</vt:lpstr>
      <vt:lpstr>DATA65</vt:lpstr>
      <vt:lpstr>DATA66</vt:lpstr>
      <vt:lpstr>DATA67</vt:lpstr>
      <vt:lpstr>DATA68</vt:lpstr>
      <vt:lpstr>'DIAPHRAGM -Crane'!DATA7</vt:lpstr>
      <vt:lpstr>DATA7</vt:lpstr>
      <vt:lpstr>'DIAPHRAGM -Crane'!DATA8</vt:lpstr>
      <vt:lpstr>DATA8</vt:lpstr>
      <vt:lpstr>'DIAPHRAGM -Crane'!DATA9</vt:lpstr>
      <vt:lpstr>DATA9</vt:lpstr>
      <vt:lpstr>'Mech.seal_EBIPL rate analysis'!Print_Area</vt:lpstr>
      <vt:lpstr>QCS!Print_Area</vt:lpstr>
      <vt:lpstr>'QCS- bellowseal Globe valve'!Print_Area</vt:lpstr>
      <vt:lpstr>'QCS- BPCL HYDROL &amp; Enklo-HPCL'!Print_Area</vt:lpstr>
      <vt:lpstr>'QCS- CS Pipes'!Print_Area</vt:lpstr>
      <vt:lpstr>'QCS- flange-fittings'!Print_Area</vt:lpstr>
      <vt:lpstr>'QCS- Forge fittings (final qty)'!Print_Area</vt:lpstr>
      <vt:lpstr>'QCS- Gate Valves'!Print_Area</vt:lpstr>
      <vt:lpstr>'QCS- Gate Valves (apr)'!Print_Area</vt:lpstr>
      <vt:lpstr>'QCS- IBR CS pipes'!Print_Area</vt:lpstr>
      <vt:lpstr>'QCS- MOBILE DTE-846'!Print_Area</vt:lpstr>
      <vt:lpstr>'QCS- pipe-flanges-fittings'!Print_Area</vt:lpstr>
      <vt:lpstr>'QCS- plant Gaskets'!Print_Area</vt:lpstr>
      <vt:lpstr>'QCS- Str.steel'!Print_Area</vt:lpstr>
      <vt:lpstr>'QCS- TF Gaskets'!Print_Area</vt:lpstr>
      <vt:lpstr>'QCS- TF Nut-Bolts'!Print_Area</vt:lpstr>
      <vt:lpstr>'QCS- Valves'!Print_Area</vt:lpstr>
      <vt:lpstr>'QCS- Y-Strainer'!Print_Area</vt:lpstr>
      <vt:lpstr>'QCS-E-16A Tube Bundle'!Print_Area</vt:lpstr>
      <vt:lpstr>'QCS-Shims'!Print_Area</vt:lpstr>
      <vt:lpstr>'QCS-Steam seperator'!Print_Area</vt:lpstr>
      <vt:lpstr>'DIAPHRAGM -Crane'!TEST0</vt:lpstr>
      <vt:lpstr>TEST0</vt:lpstr>
      <vt:lpstr>'DIAPHRAGM -Crane'!TESTHKEY</vt:lpstr>
      <vt:lpstr>TESTHKEY</vt:lpstr>
      <vt:lpstr>'DIAPHRAGM -Crane'!TESTKEYS</vt:lpstr>
      <vt:lpstr>TESTKEYS</vt:lpstr>
      <vt:lpstr>'DIAPHRAGM -Crane'!TESTVKEY</vt:lpstr>
      <vt:lpstr>TESTVKEY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Riju Mukherjee</dc:creator>
  <cp:lastModifiedBy>Pravin Nerkar</cp:lastModifiedBy>
  <dcterms:created xsi:type="dcterms:W3CDTF">2014-07-09T08:45:08Z</dcterms:created>
  <dcterms:modified xsi:type="dcterms:W3CDTF">2017-04-21T11:58:57Z</dcterms:modified>
</cp:coreProperties>
</file>