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95" windowWidth="11760" windowHeight="4230" activeTab="11"/>
  </bookViews>
  <sheets>
    <sheet name="Apr 16" sheetId="25" r:id="rId1"/>
    <sheet name="May 16" sheetId="26" r:id="rId2"/>
    <sheet name="Jun 16" sheetId="28" r:id="rId3"/>
    <sheet name="Jul 16" sheetId="29" r:id="rId4"/>
    <sheet name="Aug 16" sheetId="31" r:id="rId5"/>
    <sheet name="sep 16" sheetId="33" r:id="rId6"/>
    <sheet name="Oct 16" sheetId="34" r:id="rId7"/>
    <sheet name="Nov 16" sheetId="35" r:id="rId8"/>
    <sheet name="Dec 16" sheetId="36" r:id="rId9"/>
    <sheet name="Jan 17" sheetId="37" r:id="rId10"/>
    <sheet name="Feb 17" sheetId="38" r:id="rId11"/>
    <sheet name="Mar 17" sheetId="39" r:id="rId12"/>
    <sheet name="Bkup" sheetId="40" r:id="rId13"/>
    <sheet name="Landed calculation" sheetId="27" r:id="rId14"/>
  </sheets>
  <calcPr calcId="145621"/>
</workbook>
</file>

<file path=xl/calcChain.xml><?xml version="1.0" encoding="utf-8"?>
<calcChain xmlns="http://schemas.openxmlformats.org/spreadsheetml/2006/main">
  <c r="G8" i="39" l="1"/>
  <c r="G7" i="39"/>
  <c r="D6" i="39"/>
  <c r="G6" i="39" s="1"/>
  <c r="G5" i="39" l="1"/>
  <c r="G4" i="39"/>
  <c r="B16" i="40" l="1"/>
  <c r="G9" i="38" l="1"/>
  <c r="CW5" i="27"/>
  <c r="CW6" i="27" s="1"/>
  <c r="CW7" i="27" s="1"/>
  <c r="CV5" i="27"/>
  <c r="CV6" i="27" s="1"/>
  <c r="N34" i="27"/>
  <c r="N40" i="27" s="1"/>
  <c r="M34" i="27"/>
  <c r="M40" i="27" s="1"/>
  <c r="G8" i="38"/>
  <c r="G7" i="38"/>
  <c r="G6" i="38"/>
  <c r="G5" i="38"/>
  <c r="G4" i="38"/>
  <c r="CV7" i="27" l="1"/>
  <c r="CV8" i="27" s="1"/>
  <c r="CV10" i="27" s="1"/>
  <c r="CW8" i="27"/>
  <c r="CW10" i="27" s="1"/>
  <c r="M35" i="27"/>
  <c r="N35" i="27"/>
  <c r="G10" i="37"/>
  <c r="CT6" i="27"/>
  <c r="CT7" i="27" s="1"/>
  <c r="CS6" i="27"/>
  <c r="CT5" i="27"/>
  <c r="CS5" i="27"/>
  <c r="G9" i="37"/>
  <c r="G8" i="37"/>
  <c r="G7" i="37"/>
  <c r="G6" i="37"/>
  <c r="G5" i="37"/>
  <c r="G4" i="37"/>
  <c r="CW12" i="27" l="1"/>
  <c r="N36" i="27"/>
  <c r="N42" i="27" s="1"/>
  <c r="M36" i="27"/>
  <c r="M42" i="27" s="1"/>
  <c r="CS8" i="27"/>
  <c r="CS10" i="27" s="1"/>
  <c r="CT12" i="27" s="1"/>
  <c r="CT8" i="27"/>
  <c r="CT10" i="27" s="1"/>
  <c r="CS7" i="27"/>
  <c r="G6" i="36"/>
  <c r="D6" i="36"/>
  <c r="M37" i="27" l="1"/>
  <c r="M39" i="27" s="1"/>
  <c r="M41" i="27" s="1"/>
  <c r="M43" i="27" s="1"/>
  <c r="N37" i="27"/>
  <c r="N39" i="27" s="1"/>
  <c r="N41" i="27" s="1"/>
  <c r="N43" i="27" s="1"/>
  <c r="CO6" i="27"/>
  <c r="CP5" i="27"/>
  <c r="CP6" i="27" s="1"/>
  <c r="CP7" i="27" s="1"/>
  <c r="CO5" i="27"/>
  <c r="CM6" i="27"/>
  <c r="CM7" i="27" s="1"/>
  <c r="CM5" i="27"/>
  <c r="CL5" i="27"/>
  <c r="CL6" i="27" s="1"/>
  <c r="K40" i="27"/>
  <c r="K35" i="27"/>
  <c r="K36" i="27" s="1"/>
  <c r="J35" i="27"/>
  <c r="K34" i="27"/>
  <c r="J34" i="27"/>
  <c r="J40" i="27" s="1"/>
  <c r="G8" i="36"/>
  <c r="G7" i="36"/>
  <c r="D5" i="36"/>
  <c r="G5" i="36" s="1"/>
  <c r="G10" i="36" s="1"/>
  <c r="N44" i="27" l="1"/>
  <c r="CO8" i="27"/>
  <c r="CO10" i="27" s="1"/>
  <c r="CP8" i="27"/>
  <c r="CP10" i="27" s="1"/>
  <c r="CO7" i="27"/>
  <c r="CL7" i="27"/>
  <c r="CL8" i="27" s="1"/>
  <c r="CL10" i="27" s="1"/>
  <c r="CM12" i="27" s="1"/>
  <c r="CM8" i="27"/>
  <c r="CM10" i="27" s="1"/>
  <c r="J37" i="27"/>
  <c r="J39" i="27" s="1"/>
  <c r="J41" i="27" s="1"/>
  <c r="K42" i="27" s="1"/>
  <c r="K37" i="27"/>
  <c r="K39" i="27" s="1"/>
  <c r="K41" i="27" s="1"/>
  <c r="J36" i="27"/>
  <c r="CP12" i="27" l="1"/>
  <c r="G4" i="36"/>
  <c r="H13" i="26"/>
  <c r="E14" i="28"/>
  <c r="H14" i="28" s="1"/>
  <c r="G11" i="33"/>
  <c r="G6" i="34"/>
  <c r="G11" i="35"/>
  <c r="CJ5" i="27" l="1"/>
  <c r="CJ6" i="27" s="1"/>
  <c r="CI5" i="27"/>
  <c r="CI6" i="27" s="1"/>
  <c r="G34" i="27"/>
  <c r="G40" i="27" s="1"/>
  <c r="F34" i="27"/>
  <c r="F40" i="27" s="1"/>
  <c r="D34" i="27"/>
  <c r="D40" i="27" s="1"/>
  <c r="C34" i="27"/>
  <c r="C40" i="27" s="1"/>
  <c r="G9" i="35"/>
  <c r="D7" i="35"/>
  <c r="G7" i="35"/>
  <c r="G6" i="35"/>
  <c r="G12" i="35"/>
  <c r="G10" i="35"/>
  <c r="G8" i="35"/>
  <c r="G5" i="35"/>
  <c r="F13" i="35"/>
  <c r="CI7" i="27" l="1"/>
  <c r="CI8" i="27" s="1"/>
  <c r="CI10" i="27" s="1"/>
  <c r="CJ7" i="27"/>
  <c r="CJ8" i="27" s="1"/>
  <c r="CJ10" i="27" s="1"/>
  <c r="D35" i="27"/>
  <c r="F35" i="27"/>
  <c r="G35" i="27"/>
  <c r="C35" i="27"/>
  <c r="G13" i="35"/>
  <c r="G15" i="35" s="1"/>
  <c r="G9" i="34"/>
  <c r="CJ12" i="27" l="1"/>
  <c r="G36" i="27"/>
  <c r="G41" i="27" s="1"/>
  <c r="C36" i="27"/>
  <c r="C41" i="27" s="1"/>
  <c r="F36" i="27"/>
  <c r="F41" i="27" s="1"/>
  <c r="D36" i="27"/>
  <c r="D41" i="27" s="1"/>
  <c r="G7" i="34"/>
  <c r="G8" i="34"/>
  <c r="G5" i="34"/>
  <c r="G10" i="34" s="1"/>
  <c r="F10" i="34"/>
  <c r="CG12" i="27"/>
  <c r="CG6" i="27"/>
  <c r="CG5" i="27"/>
  <c r="CF5" i="27"/>
  <c r="F37" i="27" l="1"/>
  <c r="F39" i="27" s="1"/>
  <c r="F42" i="27" s="1"/>
  <c r="G43" i="27" s="1"/>
  <c r="G37" i="27"/>
  <c r="G39" i="27" s="1"/>
  <c r="G42" i="27" s="1"/>
  <c r="D37" i="27"/>
  <c r="D39" i="27" s="1"/>
  <c r="D42" i="27" s="1"/>
  <c r="C37" i="27"/>
  <c r="C39" i="27" s="1"/>
  <c r="C42" i="27" s="1"/>
  <c r="G12" i="34"/>
  <c r="CG7" i="27"/>
  <c r="CF6" i="27"/>
  <c r="CC7" i="27"/>
  <c r="CC6" i="27"/>
  <c r="CC8" i="27" s="1"/>
  <c r="CC10" i="27" s="1"/>
  <c r="CB6" i="27"/>
  <c r="CB7" i="27" s="1"/>
  <c r="AC20" i="27"/>
  <c r="AC26" i="27" s="1"/>
  <c r="AB20" i="27"/>
  <c r="AB26" i="27" s="1"/>
  <c r="D43" i="27" l="1"/>
  <c r="AC21" i="27"/>
  <c r="AC22" i="27" s="1"/>
  <c r="AC27" i="27" s="1"/>
  <c r="CG8" i="27"/>
  <c r="CG10" i="27" s="1"/>
  <c r="CF7" i="27"/>
  <c r="CB8" i="27"/>
  <c r="CB10" i="27" s="1"/>
  <c r="CC12" i="27" s="1"/>
  <c r="AB21" i="27"/>
  <c r="L28" i="27"/>
  <c r="L27" i="27"/>
  <c r="K27" i="27"/>
  <c r="D28" i="27"/>
  <c r="D27" i="27"/>
  <c r="C27" i="27"/>
  <c r="H28" i="27"/>
  <c r="H27" i="27"/>
  <c r="G27" i="27"/>
  <c r="CF8" i="27" l="1"/>
  <c r="CF10" i="27" s="1"/>
  <c r="AB22" i="27"/>
  <c r="AB27" i="27" s="1"/>
  <c r="AC23" i="27"/>
  <c r="AC25" i="27" s="1"/>
  <c r="AC28" i="27" s="1"/>
  <c r="G5" i="33"/>
  <c r="G13" i="33"/>
  <c r="AB23" i="27" l="1"/>
  <c r="AB25" i="27" s="1"/>
  <c r="AB28" i="27" s="1"/>
  <c r="AC29" i="27" s="1"/>
  <c r="BZ7" i="27"/>
  <c r="BY7" i="27"/>
  <c r="BZ5" i="27"/>
  <c r="BY5" i="27"/>
  <c r="BZ4" i="27"/>
  <c r="BZ6" i="27" s="1"/>
  <c r="BZ8" i="27" s="1"/>
  <c r="BZ10" i="27" s="1"/>
  <c r="BY4" i="27"/>
  <c r="BY6" i="27" s="1"/>
  <c r="BY8" i="27" s="1"/>
  <c r="BY10" i="27" s="1"/>
  <c r="BZ12" i="27" s="1"/>
  <c r="D10" i="33"/>
  <c r="D8" i="33"/>
  <c r="G12" i="33" l="1"/>
  <c r="G10" i="33"/>
  <c r="G9" i="33"/>
  <c r="G8" i="33"/>
  <c r="G7" i="33"/>
  <c r="G6" i="33"/>
  <c r="F14" i="33"/>
  <c r="G14" i="33" l="1"/>
  <c r="G16" i="33" s="1"/>
  <c r="G26" i="31"/>
  <c r="BW6" i="27" l="1"/>
  <c r="BV6" i="27"/>
  <c r="BW7" i="27" l="1"/>
  <c r="BW8" i="27" s="1"/>
  <c r="BW10" i="27" s="1"/>
  <c r="BV7" i="27"/>
  <c r="BV8" i="27" s="1"/>
  <c r="BV10" i="27" s="1"/>
  <c r="BT5" i="27"/>
  <c r="BT6" i="27" s="1"/>
  <c r="BT7" i="27" s="1"/>
  <c r="BS5" i="27"/>
  <c r="BS6" i="27" s="1"/>
  <c r="G25" i="31"/>
  <c r="G24" i="31"/>
  <c r="G23" i="31"/>
  <c r="G22" i="31"/>
  <c r="BQ6" i="27"/>
  <c r="BQ7" i="27" s="1"/>
  <c r="BP6" i="27"/>
  <c r="BP7" i="27" s="1"/>
  <c r="BQ5" i="27"/>
  <c r="BP5" i="27"/>
  <c r="G21" i="31"/>
  <c r="BM6" i="27"/>
  <c r="BN5" i="27"/>
  <c r="BN6" i="27" s="1"/>
  <c r="BM5" i="27"/>
  <c r="BK7" i="27"/>
  <c r="BK6" i="27"/>
  <c r="BK8" i="27" s="1"/>
  <c r="BK10" i="27" s="1"/>
  <c r="BJ6" i="27"/>
  <c r="G20" i="31"/>
  <c r="F5" i="31"/>
  <c r="BH5" i="27"/>
  <c r="BH6" i="27" s="1"/>
  <c r="BG5" i="27"/>
  <c r="BG6" i="27" s="1"/>
  <c r="BW12" i="27" l="1"/>
  <c r="BS7" i="27"/>
  <c r="BS8" i="27" s="1"/>
  <c r="BS10" i="27" s="1"/>
  <c r="BT8" i="27"/>
  <c r="BT10" i="27" s="1"/>
  <c r="BP8" i="27"/>
  <c r="BP10" i="27" s="1"/>
  <c r="BQ8" i="27"/>
  <c r="BQ10" i="27" s="1"/>
  <c r="BN7" i="27"/>
  <c r="BN8" i="27"/>
  <c r="BN10" i="27" s="1"/>
  <c r="BM7" i="27"/>
  <c r="BM8" i="27" s="1"/>
  <c r="BM10" i="27" s="1"/>
  <c r="BN12" i="27" s="1"/>
  <c r="BJ7" i="27"/>
  <c r="BJ8" i="27" s="1"/>
  <c r="BJ10" i="27" s="1"/>
  <c r="BK12" i="27" s="1"/>
  <c r="BG7" i="27"/>
  <c r="BG8" i="27" s="1"/>
  <c r="BG10" i="27" s="1"/>
  <c r="BH7" i="27"/>
  <c r="BH8" i="27" s="1"/>
  <c r="BH10" i="27" s="1"/>
  <c r="BT12" i="27" l="1"/>
  <c r="BQ12" i="27"/>
  <c r="BH12" i="27"/>
  <c r="F11" i="31" l="1"/>
  <c r="G19" i="31"/>
  <c r="G18" i="31"/>
  <c r="G17" i="31"/>
  <c r="G16" i="31"/>
  <c r="G15" i="31"/>
  <c r="F13" i="31"/>
  <c r="F12" i="31"/>
  <c r="F10" i="31"/>
  <c r="F9" i="31"/>
  <c r="F8" i="31"/>
  <c r="F7" i="31"/>
  <c r="F6" i="31"/>
  <c r="F28" i="31" l="1"/>
  <c r="G28" i="31"/>
  <c r="G15" i="29"/>
  <c r="G14" i="29"/>
  <c r="G13" i="29"/>
  <c r="G8" i="29"/>
  <c r="G7" i="29"/>
  <c r="H21" i="29"/>
  <c r="H22" i="29"/>
  <c r="H20" i="29"/>
  <c r="H18" i="29"/>
  <c r="G4" i="25"/>
  <c r="G5" i="25"/>
  <c r="G10" i="25"/>
  <c r="G11" i="25"/>
  <c r="G12" i="25"/>
  <c r="G15" i="25"/>
  <c r="G16" i="29"/>
  <c r="BD11" i="27"/>
  <c r="BD6" i="27"/>
  <c r="BE5" i="27"/>
  <c r="BE11" i="27" s="1"/>
  <c r="BD5" i="27"/>
  <c r="BB5" i="27"/>
  <c r="BB6" i="27" s="1"/>
  <c r="BB7" i="27" s="1"/>
  <c r="BA5" i="27"/>
  <c r="BA6" i="27" s="1"/>
  <c r="AY6" i="27"/>
  <c r="AY7" i="27" s="1"/>
  <c r="AX6" i="27"/>
  <c r="AV5" i="27"/>
  <c r="AV6" i="27" s="1"/>
  <c r="AU5" i="27"/>
  <c r="AU6" i="27" s="1"/>
  <c r="G11" i="29"/>
  <c r="G10" i="29"/>
  <c r="G9" i="29"/>
  <c r="H19" i="29"/>
  <c r="G12" i="29"/>
  <c r="G6" i="29"/>
  <c r="G5" i="29"/>
  <c r="G30" i="31" l="1"/>
  <c r="H23" i="29"/>
  <c r="BD8" i="27"/>
  <c r="BD10" i="27" s="1"/>
  <c r="BD12" i="27" s="1"/>
  <c r="BE6" i="27"/>
  <c r="BD7" i="27"/>
  <c r="BA7" i="27"/>
  <c r="BA8" i="27" s="1"/>
  <c r="BA10" i="27" s="1"/>
  <c r="BB12" i="27" s="1"/>
  <c r="BB8" i="27"/>
  <c r="BB10" i="27" s="1"/>
  <c r="AX7" i="27"/>
  <c r="AX8" i="27" s="1"/>
  <c r="AX10" i="27" s="1"/>
  <c r="AY12" i="27" s="1"/>
  <c r="AY8" i="27"/>
  <c r="AY10" i="27" s="1"/>
  <c r="AV7" i="27"/>
  <c r="AV8" i="27"/>
  <c r="AV10" i="27" s="1"/>
  <c r="AU7" i="27"/>
  <c r="AU8" i="27" s="1"/>
  <c r="AU10" i="27" s="1"/>
  <c r="AV12" i="27" s="1"/>
  <c r="G23" i="29"/>
  <c r="G8" i="28"/>
  <c r="H15" i="28"/>
  <c r="G6" i="28"/>
  <c r="H13" i="28"/>
  <c r="G5" i="28"/>
  <c r="H12" i="28"/>
  <c r="X25" i="27"/>
  <c r="X23" i="27"/>
  <c r="W23" i="27"/>
  <c r="W20" i="27"/>
  <c r="H11" i="28"/>
  <c r="H10" i="28"/>
  <c r="G7" i="28"/>
  <c r="G4" i="28"/>
  <c r="G25" i="29" l="1"/>
  <c r="BE8" i="27"/>
  <c r="BE10" i="27" s="1"/>
  <c r="BE12" i="27" s="1"/>
  <c r="BE13" i="27" s="1"/>
  <c r="BE7" i="27"/>
  <c r="G16" i="28"/>
  <c r="H16" i="28"/>
  <c r="G18" i="28" l="1"/>
  <c r="H23" i="25" l="1"/>
  <c r="H22" i="25"/>
  <c r="H21" i="25" l="1"/>
  <c r="H15" i="26" l="1"/>
  <c r="H14" i="26"/>
  <c r="G8" i="26"/>
  <c r="H12" i="26"/>
  <c r="G10" i="26"/>
  <c r="G9" i="26"/>
  <c r="G7" i="26"/>
  <c r="G6" i="26"/>
  <c r="G5" i="26"/>
  <c r="G4" i="26"/>
  <c r="H20" i="25"/>
  <c r="H19" i="25"/>
  <c r="H18" i="25"/>
  <c r="H17" i="25"/>
  <c r="G14" i="25"/>
  <c r="AS6" i="27"/>
  <c r="AR6" i="27"/>
  <c r="AP5" i="27"/>
  <c r="AP6" i="27" s="1"/>
  <c r="AP7" i="27" s="1"/>
  <c r="AO5" i="27"/>
  <c r="AO6" i="27" s="1"/>
  <c r="G13" i="25"/>
  <c r="T26" i="27"/>
  <c r="L26" i="27"/>
  <c r="G26" i="27"/>
  <c r="D26" i="27"/>
  <c r="T21" i="27"/>
  <c r="T22" i="27" s="1"/>
  <c r="L21" i="27"/>
  <c r="G21" i="27"/>
  <c r="G22" i="27" s="1"/>
  <c r="D21" i="27"/>
  <c r="D22" i="27" s="1"/>
  <c r="T20" i="27"/>
  <c r="S20" i="27"/>
  <c r="S26" i="27" s="1"/>
  <c r="P20" i="27"/>
  <c r="P26" i="27" s="1"/>
  <c r="O20" i="27"/>
  <c r="O26" i="27" s="1"/>
  <c r="L20" i="27"/>
  <c r="K20" i="27"/>
  <c r="K26" i="27" s="1"/>
  <c r="H20" i="27"/>
  <c r="H26" i="27" s="1"/>
  <c r="G20" i="27"/>
  <c r="D20" i="27"/>
  <c r="C20" i="27"/>
  <c r="C26" i="27" s="1"/>
  <c r="AK8" i="27"/>
  <c r="AK9" i="27" s="1"/>
  <c r="AM12" i="27" s="1"/>
  <c r="AM6" i="27"/>
  <c r="AM9" i="27" s="1"/>
  <c r="AK6" i="27"/>
  <c r="AH6" i="27"/>
  <c r="AG6" i="27"/>
  <c r="AG7" i="27" s="1"/>
  <c r="AB6" i="27"/>
  <c r="AA6" i="27"/>
  <c r="V6" i="27"/>
  <c r="U6" i="27"/>
  <c r="U7" i="27" s="1"/>
  <c r="P6" i="27"/>
  <c r="O6" i="27"/>
  <c r="O7" i="27" s="1"/>
  <c r="D6" i="27"/>
  <c r="C6" i="27"/>
  <c r="C7" i="27" s="1"/>
  <c r="AH5" i="27"/>
  <c r="AG5" i="27"/>
  <c r="AE5" i="27"/>
  <c r="AE6" i="27" s="1"/>
  <c r="AD5" i="27"/>
  <c r="AD6" i="27" s="1"/>
  <c r="AB5" i="27"/>
  <c r="AA5" i="27"/>
  <c r="Y5" i="27"/>
  <c r="Y6" i="27" s="1"/>
  <c r="X5" i="27"/>
  <c r="X6" i="27" s="1"/>
  <c r="V5" i="27"/>
  <c r="U5" i="27"/>
  <c r="S5" i="27"/>
  <c r="S6" i="27" s="1"/>
  <c r="R5" i="27"/>
  <c r="R6" i="27" s="1"/>
  <c r="P5" i="27"/>
  <c r="O5" i="27"/>
  <c r="M5" i="27"/>
  <c r="M6" i="27" s="1"/>
  <c r="L5" i="27"/>
  <c r="L6" i="27" s="1"/>
  <c r="G5" i="27"/>
  <c r="G6" i="27" s="1"/>
  <c r="F5" i="27"/>
  <c r="F6" i="27" s="1"/>
  <c r="D5" i="27"/>
  <c r="C5" i="27"/>
  <c r="J4" i="27"/>
  <c r="J5" i="27" s="1"/>
  <c r="I4" i="27"/>
  <c r="I5" i="27" s="1"/>
  <c r="O21" i="27" l="1"/>
  <c r="O22" i="27" s="1"/>
  <c r="H24" i="25"/>
  <c r="G16" i="26"/>
  <c r="H16" i="26"/>
  <c r="G18" i="26" s="1"/>
  <c r="AR7" i="27"/>
  <c r="AR8" i="27" s="1"/>
  <c r="AR10" i="27" s="1"/>
  <c r="AS7" i="27"/>
  <c r="AS8" i="27" s="1"/>
  <c r="AS10" i="27" s="1"/>
  <c r="AO7" i="27"/>
  <c r="AO8" i="27" s="1"/>
  <c r="AO10" i="27" s="1"/>
  <c r="AP8" i="27"/>
  <c r="AP10" i="27" s="1"/>
  <c r="L8" i="27"/>
  <c r="L10" i="27" s="1"/>
  <c r="L7" i="27"/>
  <c r="R7" i="27"/>
  <c r="R8" i="27"/>
  <c r="R10" i="27" s="1"/>
  <c r="AD8" i="27"/>
  <c r="AD10" i="27" s="1"/>
  <c r="AD7" i="27"/>
  <c r="M7" i="27"/>
  <c r="M8" i="27"/>
  <c r="M10" i="27" s="1"/>
  <c r="S7" i="27"/>
  <c r="S8" i="27" s="1"/>
  <c r="S10" i="27" s="1"/>
  <c r="Y7" i="27"/>
  <c r="Y8" i="27"/>
  <c r="Y10" i="27" s="1"/>
  <c r="AE7" i="27"/>
  <c r="AE8" i="27" s="1"/>
  <c r="AE10" i="27" s="1"/>
  <c r="D8" i="27"/>
  <c r="D10" i="27" s="1"/>
  <c r="V8" i="27"/>
  <c r="V10" i="27" s="1"/>
  <c r="F7" i="27"/>
  <c r="F8" i="27" s="1"/>
  <c r="F10" i="27" s="1"/>
  <c r="G12" i="27" s="1"/>
  <c r="G7" i="27"/>
  <c r="G8" i="27"/>
  <c r="G10" i="27" s="1"/>
  <c r="X7" i="27"/>
  <c r="X8" i="27" s="1"/>
  <c r="X10" i="27" s="1"/>
  <c r="Y12" i="27" s="1"/>
  <c r="I6" i="27"/>
  <c r="AA7" i="27"/>
  <c r="AA8" i="27" s="1"/>
  <c r="AA10" i="27" s="1"/>
  <c r="AB12" i="27" s="1"/>
  <c r="D23" i="27"/>
  <c r="D25" i="27" s="1"/>
  <c r="T23" i="27"/>
  <c r="T25" i="27" s="1"/>
  <c r="V7" i="27"/>
  <c r="G23" i="27"/>
  <c r="G25" i="27" s="1"/>
  <c r="C8" i="27"/>
  <c r="C10" i="27" s="1"/>
  <c r="D12" i="27" s="1"/>
  <c r="O8" i="27"/>
  <c r="O10" i="27" s="1"/>
  <c r="U8" i="27"/>
  <c r="U10" i="27" s="1"/>
  <c r="AG8" i="27"/>
  <c r="AG10" i="27" s="1"/>
  <c r="H21" i="27"/>
  <c r="P21" i="27"/>
  <c r="L22" i="27"/>
  <c r="L23" i="27" s="1"/>
  <c r="L25" i="27" s="1"/>
  <c r="J6" i="27"/>
  <c r="D7" i="27"/>
  <c r="P7" i="27"/>
  <c r="P8" i="27" s="1"/>
  <c r="P10" i="27" s="1"/>
  <c r="AB7" i="27"/>
  <c r="AB8" i="27" s="1"/>
  <c r="AB10" i="27" s="1"/>
  <c r="AH7" i="27"/>
  <c r="AH8" i="27" s="1"/>
  <c r="AH10" i="27" s="1"/>
  <c r="C21" i="27"/>
  <c r="K21" i="27"/>
  <c r="S21" i="27"/>
  <c r="O23" i="27" l="1"/>
  <c r="O25" i="27" s="1"/>
  <c r="AS12" i="27"/>
  <c r="AP12" i="27"/>
  <c r="K23" i="27"/>
  <c r="K25" i="27" s="1"/>
  <c r="K22" i="27"/>
  <c r="H22" i="27"/>
  <c r="H23" i="27"/>
  <c r="H25" i="27" s="1"/>
  <c r="S12" i="27"/>
  <c r="C22" i="27"/>
  <c r="C23" i="27" s="1"/>
  <c r="C25" i="27" s="1"/>
  <c r="AH12" i="27"/>
  <c r="V12" i="27"/>
  <c r="S23" i="27"/>
  <c r="S25" i="27" s="1"/>
  <c r="T27" i="27" s="1"/>
  <c r="S22" i="27"/>
  <c r="J7" i="27"/>
  <c r="J8" i="27" s="1"/>
  <c r="J10" i="27" s="1"/>
  <c r="P22" i="27"/>
  <c r="P23" i="27" s="1"/>
  <c r="P25" i="27" s="1"/>
  <c r="P27" i="27" s="1"/>
  <c r="P12" i="27"/>
  <c r="I7" i="27"/>
  <c r="I8" i="27" s="1"/>
  <c r="I10" i="27" s="1"/>
  <c r="J12" i="27" s="1"/>
  <c r="AE12" i="27"/>
  <c r="M12" i="27"/>
  <c r="G9" i="25" l="1"/>
  <c r="G8" i="25"/>
  <c r="G7" i="25"/>
  <c r="G6" i="25"/>
  <c r="G24" i="25" l="1"/>
  <c r="G26" i="25" s="1"/>
</calcChain>
</file>

<file path=xl/comments1.xml><?xml version="1.0" encoding="utf-8"?>
<comments xmlns="http://schemas.openxmlformats.org/spreadsheetml/2006/main">
  <authors>
    <author>Riju  Mukherjee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Riju  Mukherjee:</t>
        </r>
        <r>
          <rPr>
            <sz val="9"/>
            <color indexed="81"/>
            <rFont val="Tahoma"/>
            <family val="2"/>
          </rPr>
          <t xml:space="preserve">
Actually taken Rs 8/kg, to adjust Rs 24000 recovery from Aarti, further Rs 24000 to be recovered from Aarti</t>
        </r>
      </text>
    </comment>
  </commentList>
</comments>
</file>

<file path=xl/comments2.xml><?xml version="1.0" encoding="utf-8"?>
<comments xmlns="http://schemas.openxmlformats.org/spreadsheetml/2006/main">
  <authors>
    <author>Riju  Mukherjee</author>
  </authors>
  <commentList>
    <comment ref="AE9" authorId="0">
      <text>
        <r>
          <rPr>
            <b/>
            <sz val="9"/>
            <color indexed="81"/>
            <rFont val="Tahoma"/>
            <family val="2"/>
          </rPr>
          <t>Riju  Mukherjee: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<sst xmlns="http://schemas.openxmlformats.org/spreadsheetml/2006/main" count="923" uniqueCount="338">
  <si>
    <t>Supplier</t>
  </si>
  <si>
    <t>Item</t>
  </si>
  <si>
    <t>Qty Purchased (kg)</t>
  </si>
  <si>
    <t>Reason</t>
  </si>
  <si>
    <t>Total</t>
  </si>
  <si>
    <t>Purchaser</t>
  </si>
  <si>
    <t>Riju</t>
  </si>
  <si>
    <t>Sanjib</t>
  </si>
  <si>
    <t>BHT</t>
  </si>
  <si>
    <t>applicable Time Period</t>
  </si>
  <si>
    <t>Rhodia</t>
  </si>
  <si>
    <t>sanjib</t>
  </si>
  <si>
    <t>Aug 15 to July 16</t>
  </si>
  <si>
    <t>Ambe Organics</t>
  </si>
  <si>
    <t>Neem Paste</t>
  </si>
  <si>
    <t>Savings per kg</t>
  </si>
  <si>
    <t>Sept  15  to aug 16</t>
  </si>
  <si>
    <t>Shivchem</t>
  </si>
  <si>
    <t>EDTA</t>
  </si>
  <si>
    <t>Vimal Life Science</t>
  </si>
  <si>
    <t>Sunshine Industry</t>
  </si>
  <si>
    <t>Tinopal</t>
  </si>
  <si>
    <t>North based dealer of BASF, getting new price Rs 1265/kg as compared to Rs 1335/- per kg + Rs 2 /kg savings in freight</t>
  </si>
  <si>
    <t>Clarient Chemical</t>
  </si>
  <si>
    <t>Rate negotiation</t>
  </si>
  <si>
    <t>CI11680</t>
  </si>
  <si>
    <t>Sudesh  Chemical</t>
  </si>
  <si>
    <t>SODIUM SULFATE</t>
  </si>
  <si>
    <t>Earlier we bought @ Rs 20/kg lalnded, bought down to Rs 13/kg landed</t>
  </si>
  <si>
    <t>HPMC(Methocel 40-100 PCG)</t>
  </si>
  <si>
    <t>Nov  15  to Oct 16</t>
  </si>
  <si>
    <t>Ketan Chemical/ Quality</t>
  </si>
  <si>
    <t>KIP Chemical</t>
  </si>
  <si>
    <t>DMDM  HYDANTOIN</t>
  </si>
  <si>
    <t>July 15 to Jun 16</t>
  </si>
  <si>
    <t>Arihant</t>
  </si>
  <si>
    <t>Novathix L-10</t>
  </si>
  <si>
    <t>CI 12490</t>
  </si>
  <si>
    <t>CI 73360</t>
  </si>
  <si>
    <t>Total savings</t>
  </si>
  <si>
    <t>Croda</t>
  </si>
  <si>
    <t>CRODASINIC LS30/ Na LAUROYL SARCOSINATE</t>
  </si>
  <si>
    <t>On April 2016</t>
  </si>
  <si>
    <t>Baddi</t>
  </si>
  <si>
    <t>BHT - QI</t>
  </si>
  <si>
    <t>CI11680 - Clariant</t>
  </si>
  <si>
    <t>CI 73360 - Clariant</t>
  </si>
  <si>
    <t>PG-USP - Vimal Life Sci</t>
  </si>
  <si>
    <t>SCMC - Nitin Chem</t>
  </si>
  <si>
    <t>SLS 12-14 N - Rhodia</t>
  </si>
  <si>
    <t>Sodium Sulphate - Sudesh</t>
  </si>
  <si>
    <t>Tinopal - Sunshine</t>
  </si>
  <si>
    <t>CI 12490 - Clariant</t>
  </si>
  <si>
    <t>Sorbitol 70%- Gujarat Amb</t>
  </si>
  <si>
    <t>TRICHLORO CARBANILIDE(TCC)-Belchem</t>
  </si>
  <si>
    <t>Talc</t>
  </si>
  <si>
    <t>Old rate</t>
  </si>
  <si>
    <t>New Rate</t>
  </si>
  <si>
    <t>Old rate-ARK</t>
  </si>
  <si>
    <t>New Rate-Sunshine</t>
  </si>
  <si>
    <t>Old rate-Chemspec</t>
  </si>
  <si>
    <t>New Rate-Belchem</t>
  </si>
  <si>
    <t>Lime Chemical</t>
  </si>
  <si>
    <t>Sudarshan</t>
  </si>
  <si>
    <t>Basic</t>
  </si>
  <si>
    <t>Excise</t>
  </si>
  <si>
    <t>ED</t>
  </si>
  <si>
    <t>VAT 4%</t>
  </si>
  <si>
    <t>cst 2%</t>
  </si>
  <si>
    <t>CST 2%</t>
  </si>
  <si>
    <t>Freight</t>
  </si>
  <si>
    <t>(less) VAT refund</t>
  </si>
  <si>
    <t>Saving per kg</t>
  </si>
  <si>
    <t>Daman</t>
  </si>
  <si>
    <t>CRODASINIC LS30</t>
  </si>
  <si>
    <t>DMDM - Riddhi</t>
  </si>
  <si>
    <t>DMDM - KIP</t>
  </si>
  <si>
    <t>HPMC - Vimal Life</t>
  </si>
  <si>
    <t>Novethix - Arihant</t>
  </si>
  <si>
    <t>Old rate-Riddhi</t>
  </si>
  <si>
    <t>New Rate-KIP</t>
  </si>
  <si>
    <t>New Rate-Vimal</t>
  </si>
  <si>
    <t xml:space="preserve">Excise </t>
  </si>
  <si>
    <t>CST</t>
  </si>
  <si>
    <t>Less excise</t>
  </si>
  <si>
    <t>Feb'16 to Jan'17</t>
  </si>
  <si>
    <t xml:space="preserve">Savings (per kg) </t>
  </si>
  <si>
    <t>Dec'15 to Nov'16</t>
  </si>
  <si>
    <t xml:space="preserve">Polypropylene Glycol-USP gr. (Baddi) </t>
  </si>
  <si>
    <t>Old rate-ACI</t>
  </si>
  <si>
    <t>New Rate-Shivchem</t>
  </si>
  <si>
    <t>Old rate-Alchemi</t>
  </si>
  <si>
    <t>New Rate-Ambe</t>
  </si>
  <si>
    <t xml:space="preserve">Fresh negotiation with KIP Chemical (New vendor), from Rs 159.5/kg to Rs 130/kg ,saving is based on landed </t>
  </si>
  <si>
    <t>Rate negotiation with Arihant (existing vendor) from Rs.495/kg to Rs.395/kg &amp; saving is based on landed.</t>
  </si>
  <si>
    <t>Rate negotiation from 123.5 / kg to 105/kg &amp; saving is based on landed.</t>
  </si>
  <si>
    <t>Change from Neem Extract to Neem Paste, new supplier</t>
  </si>
  <si>
    <t>Riddhi Ent</t>
  </si>
  <si>
    <t>Apr'16 to Mar'17</t>
  </si>
  <si>
    <t>Nitin Chem</t>
  </si>
  <si>
    <t>SODIUM CARBOXY METHYL CELLULOSE</t>
  </si>
  <si>
    <t>SODIUM LAURYL SULPHATE 12-14 Needle</t>
  </si>
  <si>
    <t>RNCC</t>
  </si>
  <si>
    <t>Last Year CF  savings</t>
  </si>
  <si>
    <t>Rate negotiation &amp; saving is based on landed.</t>
  </si>
  <si>
    <t>As they introduced new facelity, stated business with them at lesser landed rate</t>
  </si>
  <si>
    <t>New Savings</t>
  </si>
  <si>
    <t>On May 2016</t>
  </si>
  <si>
    <t>May 16 - Apr 17</t>
  </si>
  <si>
    <t>Gujarat Ambuja</t>
  </si>
  <si>
    <t>Sorbitol 70%</t>
  </si>
  <si>
    <t>Belchem Inds</t>
  </si>
  <si>
    <t>TRICHLORO CARBANILIDE(TCC)</t>
  </si>
  <si>
    <t>Develop alternate new vendor develop, located at Kanpur, Sitarganj, saving in FREIGHT, existing vendor is Gulshan poly in both cases basic rate is same I,e, Rs.34+excise+tax per kg ex works.</t>
  </si>
  <si>
    <t>alternate new vendor develop with negotiated basic rate of Rs.325 per kg, existing vendor is Chemspec and Basic rate is Rs.335 &amp; savaing is on landed.</t>
  </si>
  <si>
    <t>Fresh negotiation with Riddhi (existing vendor), reduced basic from Rs 159.5/kg to Rs 117/kg</t>
  </si>
  <si>
    <t>Apr 16 to Mar 17</t>
  </si>
  <si>
    <t>Caustic Lye</t>
  </si>
  <si>
    <t>Existing rate Rs 185, re-negotiate with new supplier@Rs 170/kg to start business</t>
  </si>
  <si>
    <t>Landed Rate reduction from 352.25 to 260.45</t>
  </si>
  <si>
    <t>Godrej</t>
  </si>
  <si>
    <t>SLS 12-14 Needles</t>
  </si>
  <si>
    <t>Purchase @ 200 PMT less rate than market</t>
  </si>
  <si>
    <t>Forward cover @ Rs 115 by predicting market, cost gone up to Rs 124/kg</t>
  </si>
  <si>
    <t>Aromex</t>
  </si>
  <si>
    <t>Sweet Almond Oil</t>
  </si>
  <si>
    <t>Forward cover for 6 months with deferred schedule @ rs 540/kg when market prices had gone up Rs 580/kg</t>
  </si>
  <si>
    <t>2. Re-worked and re-negotiated cost with Riddhi Enterprise for DMDM.</t>
  </si>
  <si>
    <t>1. Started RNCC Procurement from Sudarshan Mineral 2nd supplier afer R&amp;D's stability test, expected yearly saving Rs 3.5 Lakh PMT</t>
  </si>
  <si>
    <t>Rawal Acid  (Principle: Lords Alkali)</t>
  </si>
  <si>
    <t>3. Introduce Rhodia as second source of SLS 12-14, after R&amp;D's stability test</t>
  </si>
  <si>
    <t>4. Introduce Lords Alkali as a new supplier of Caustic Lye</t>
  </si>
  <si>
    <t>6. Introduce Major Hub as a new source of Lauric Flakes 99%, and handed over to strategic Procurement</t>
  </si>
  <si>
    <t>Initiatives and Implementation:</t>
  </si>
  <si>
    <t>7. Help R&amp;D to get samples from different vendors and commercial negotiation  for SCI project, replacement of Bradford Noodles for J and J.</t>
  </si>
  <si>
    <t>5. Sample Submitted to R &amp; D for evluation from new source: TCC, Sorbitol, Codex, Peach Extract, Neem Oil, AOS XL and Needles, EDTA, etc</t>
  </si>
  <si>
    <t>2. Introduce Gujrat Ambuja as second source of Sorbitol after R&amp;D's approval</t>
  </si>
  <si>
    <t>1. Introduce Belchem as second source of TCC, after R&amp;D's approval</t>
  </si>
  <si>
    <t>3. Sample Submitted to R &amp; D for evluation from new source: IP Grade Sodium Chloride</t>
  </si>
  <si>
    <t>5. Work in co-ordination with R &amp; D for replacement of Triclosan by TCC in Handwash and how to make it cheaper, as Lifebuoy and dettol is using TCC.</t>
  </si>
  <si>
    <t>4  Introduce "Chemical Unlimited" for "Peralbonic" for oleo related R &amp; D</t>
  </si>
  <si>
    <t>6. Similarly, start work on alternative of "Peach Perfume" with same supplier for cost reduction purpose after discussing with CPD marketing</t>
  </si>
  <si>
    <t>NACL:  S.J.Chemical</t>
  </si>
  <si>
    <t>Landed</t>
  </si>
  <si>
    <t>Jun 16 to May 17</t>
  </si>
  <si>
    <t>S.J.Chemical</t>
  </si>
  <si>
    <t>Sodium Chloride IP</t>
  </si>
  <si>
    <t>Develop alternate 2nd supplier at less cost</t>
  </si>
  <si>
    <t>On June 2016</t>
  </si>
  <si>
    <t>June'16 to May'17</t>
  </si>
  <si>
    <t>Vimal Lifescience</t>
  </si>
  <si>
    <t>Reduced rate by negotiation to Rs 25/kg Basic (Rs 1625/kg to Rs 1600 /kg)</t>
  </si>
  <si>
    <t>Direct Negotiation by Rs 5/kg Basic</t>
  </si>
  <si>
    <t>Rate negotiation, Rs 5/kg Basic</t>
  </si>
  <si>
    <t>2016-17</t>
  </si>
  <si>
    <t>Volume discount for 1 year</t>
  </si>
  <si>
    <t>1. New overseas vendor developed  Tangshan Moneide Trading Co., Ltd.- China for Sodium Isethionate.</t>
  </si>
  <si>
    <t>2. Sample Submitted to R &amp; D for evaluation from new source i,e, Clariant India Ltd for SCI 65% for J&amp;J soap</t>
  </si>
  <si>
    <t>3. Start commercialising "Sodium Gluconate" with Brenntag .</t>
  </si>
  <si>
    <t>4. Helped daman plant and RBI to start local buying of U-Con fluid from Dow Chemical approved agent insteda of direct importing, as import leadv time was 3 monts + advance payment.</t>
  </si>
  <si>
    <t>TINOGAURD TT-Sunshine</t>
  </si>
  <si>
    <t>Old rate - ARK</t>
  </si>
  <si>
    <t>PG-USP - Gopal Ent</t>
  </si>
  <si>
    <t>Vimal's Rate</t>
  </si>
  <si>
    <t>Gopal's Rate</t>
  </si>
  <si>
    <t>GUM ROSIN -VAGHANI</t>
  </si>
  <si>
    <t>Plantacare-Sunshine</t>
  </si>
  <si>
    <t>TINOGAURD TT</t>
  </si>
  <si>
    <t>PLANTACARE 2000/DECYL GLUCOSIDE</t>
  </si>
  <si>
    <t>CI 73900</t>
  </si>
  <si>
    <t>Nov '15  to Oct'16</t>
  </si>
  <si>
    <t>PROPLYENE GYLCOL USP</t>
  </si>
  <si>
    <t xml:space="preserve">VIMAL LIFESCIENCES </t>
  </si>
  <si>
    <t>Rate negotiation from Rs.123.50 to Rs.105 per kg on basic.</t>
  </si>
  <si>
    <t>Aug'15 to July'16</t>
  </si>
  <si>
    <t>VAGHANI INC</t>
  </si>
  <si>
    <t>GUM ROSIN  - WW GRADE</t>
  </si>
  <si>
    <t>From Rs 124/kg to Rs 117/kg, further brought down to rs 98/kg</t>
  </si>
  <si>
    <t>JKW Chemicals Pvt. Ltd.</t>
  </si>
  <si>
    <t>SODIUM META BISULFITE</t>
  </si>
  <si>
    <t>Re-introduce as new vendor with rate negotiation of same make of material</t>
  </si>
  <si>
    <t>Sep'15 to Aug'16</t>
  </si>
  <si>
    <t>India Glycols Limited</t>
  </si>
  <si>
    <t>PEG 200</t>
  </si>
  <si>
    <t>Oct'15 to Sep'16</t>
  </si>
  <si>
    <t xml:space="preserve">SUDESH CHEMICALS </t>
  </si>
  <si>
    <t>Direct dealing with Indian Glycol, small quantity, earlier price was Rs 101 per kg, new Rs 81 per kg</t>
  </si>
  <si>
    <t>North based dealer of BASF, getting new price Rs 965/kg as compared to Rs 1200/- per kg with delivered rate</t>
  </si>
  <si>
    <t>North based dealer of BASF, getting new price Rs 180/kg as compared to Rs 265/- per kg , but freight for Taloja is Rs 5 per kg  additional</t>
  </si>
  <si>
    <t>July'16  to June'17</t>
  </si>
  <si>
    <t>Gopal Enterprises</t>
  </si>
  <si>
    <t>Gopal Ent is new vendor and Dow Chemical's approved dealer, rate is based on competition with old vender</t>
  </si>
  <si>
    <t>July'16 to June'17</t>
  </si>
  <si>
    <t>KETUL CHEM PVT LTD</t>
  </si>
  <si>
    <t>PHOSPHORIC ACID 85%FO</t>
  </si>
  <si>
    <t>We have introduce Ketul for Phosphoric Acid for best offer against our regular vendor Ramniklal Gosalia</t>
  </si>
  <si>
    <t>Initiative</t>
  </si>
  <si>
    <t>1. Introduce Gopal Enterprise, an authorised dealer of Dow Chemical</t>
  </si>
  <si>
    <t>2. Start procuring Phosphoric acid for Syndet from Ketul Chemical</t>
  </si>
  <si>
    <t>3. Start procurement of Sodium Gloconate from Brenntag, replacement of Codex and EDTA.</t>
  </si>
  <si>
    <t>On July 2016</t>
  </si>
  <si>
    <t>On Aug 2016</t>
  </si>
  <si>
    <t>CI 74260</t>
  </si>
  <si>
    <t>Direct dealing with Indian Glycol, small quantity, earlier price was Rs 101 per kg, new Rs 82 per kg.  Price change to Rs 85 in July</t>
  </si>
  <si>
    <t>PEG 200 - India Glycol</t>
  </si>
  <si>
    <t>Old rate-Ark</t>
  </si>
  <si>
    <t>New Rate-IGL</t>
  </si>
  <si>
    <t>Gopal Ent is new vendor and Dow Chemical's approved dealer, rate is based on competition with old vender. Further Rs 1.5 reduction in basic under same excise</t>
  </si>
  <si>
    <t>BHT - Ketan Chem</t>
  </si>
  <si>
    <t>Aug'16 - July'17</t>
  </si>
  <si>
    <t>CONNELL BROS COMPANY</t>
  </si>
  <si>
    <t>PEG -14 M(POLYOX WSR 205)</t>
  </si>
  <si>
    <t>R. R. INNOVATIVE PVT LTD</t>
  </si>
  <si>
    <t>ISOPROPYL ALCOHOL</t>
  </si>
  <si>
    <t>R.R.Innovative is new vendor and auth.dealer Deepak for IPA.</t>
  </si>
  <si>
    <t>ISO Propyl Alcohol - R.R.Inno</t>
  </si>
  <si>
    <t>Old Rate</t>
  </si>
  <si>
    <t>New</t>
  </si>
  <si>
    <t>June'16 - May'17</t>
  </si>
  <si>
    <t>Vimal Lifesciences</t>
  </si>
  <si>
    <t>HPMC(Methocel 40-100 PCG) - July 16</t>
  </si>
  <si>
    <t>Rate negotiation with the help of principal &amp; based on competition (connell rate was Rs.1906 and negotiated at Rs.1600 per kg)</t>
  </si>
  <si>
    <t>Nov'15 - Oct'16</t>
  </si>
  <si>
    <t>HPMC(Methocel 40-100 PCG) (Apr+May'16)</t>
  </si>
  <si>
    <t>Rate negotiation with the help of principal &amp; based on competition (Connell rate was Rs.1906 and we hv negotiatied with Vimal at Rs.1625 per kg)</t>
  </si>
  <si>
    <t>HPMC(Methocel 40-100 PCG) (June'16)</t>
  </si>
  <si>
    <t>Rate negotiation with the help of principal &amp; based on competition (Connell rate was Rs.1906 and we hv negotiatied with Vimal at Rs.1600 per kg)</t>
  </si>
  <si>
    <t>Aug 16 fwd cover</t>
  </si>
  <si>
    <t>SLS 12-14</t>
  </si>
  <si>
    <t>Forward cover @ RS 137/kg basic, present rate for this month minimum Rs 150</t>
  </si>
  <si>
    <t>SLS 12-14 fwd cover</t>
  </si>
  <si>
    <t>Covered rate</t>
  </si>
  <si>
    <t>SMBS- Pari Chem</t>
  </si>
  <si>
    <t>1. Introduce R.R.Innovative, an authorised dealer of Deepak Fert. For IPA.</t>
  </si>
  <si>
    <t>2. Working on Tert. Amine project for VVF-Taloja Plant.</t>
  </si>
  <si>
    <t>3. Working on SCI 65 from different vendors for syndet Noodles.</t>
  </si>
  <si>
    <t>4. Approval received from R&amp;D for (1) DMDM- Clariant (2) AOS Excel- Sai Fertilizer (3) SLS 12-14 - Aarti Industries</t>
  </si>
  <si>
    <t>6. Found out sources of REACH registered Magnesium carbonate (3 Nos)  as desired by Oriflame for their powder, obtaining necessary approval from Oriflame  R&amp;D through our internal R&amp;D, and ready for commercialisation in early September</t>
  </si>
  <si>
    <t>7. Forward Cover of SLS 12-14 ahead of market as market is showing upward trend for LA.</t>
  </si>
  <si>
    <t>Note: Re-check in October end before taking final savings</t>
  </si>
  <si>
    <t>Initiatives</t>
  </si>
  <si>
    <t>Caustic Soda forward cover</t>
  </si>
  <si>
    <t>5. Forward cover of Caustic Lye @ Rs 31000 PMT , which we feel on the lowe band price as per past trend and market scenario analysis, 950 MT.</t>
  </si>
  <si>
    <t xml:space="preserve">Freight Savings in Tiljaja to buy colour from Clarient and Devarson, </t>
  </si>
  <si>
    <t>On Sep  2016</t>
  </si>
  <si>
    <t>Sep'16 - Aug'17</t>
  </si>
  <si>
    <t>Aarti Industries Ltd</t>
  </si>
  <si>
    <t>SODIUM LAURYL SULPHATE 12-14 N</t>
  </si>
  <si>
    <t>UDAIPUR MINERAL DEVELOPMENT</t>
  </si>
  <si>
    <t>Talc Finex- Golcha</t>
  </si>
  <si>
    <t>Talc Finex- Golcha for oriflame</t>
  </si>
  <si>
    <t>Rate Negotiation</t>
  </si>
  <si>
    <t>Caustic Soda forward cover in Baddi</t>
  </si>
  <si>
    <t>Caustic Soda forward cover in Tiljala</t>
  </si>
  <si>
    <t xml:space="preserve">1. Forward cover of Caustic Lye in Baddi and Tiljala, and achieved considerable savings </t>
  </si>
  <si>
    <t>2. Start procuring SLS 12-14 From Aarti Industries, after obtaining R&amp;D Approval</t>
  </si>
  <si>
    <t>3. Working on E-Wax 300 project I VVF Taloja Plant</t>
  </si>
  <si>
    <t>Forward cover in August for October</t>
  </si>
  <si>
    <t>Forward cover in August-sep for October</t>
  </si>
  <si>
    <t>Introduce Aarti Industries as new supplier, and got better rate</t>
  </si>
  <si>
    <t>SLS(12-14)Needel</t>
  </si>
  <si>
    <t>VAT</t>
  </si>
  <si>
    <t>Less VAT</t>
  </si>
  <si>
    <t>(Aarti)</t>
  </si>
  <si>
    <t>On Oct  2016</t>
  </si>
  <si>
    <t>Caustic Lye sold back to D.K.Chemical</t>
  </si>
  <si>
    <t>November starting rate Rs 37000 PMT</t>
  </si>
  <si>
    <t>Sold back@ Rs 36200 PMT, bought @ Rs 30900 PMT</t>
  </si>
  <si>
    <t>On Nov  2016</t>
  </si>
  <si>
    <t>Oct'16 to  Sep'17</t>
  </si>
  <si>
    <t>RHODIA SPECIALTY CHEMICAL INDIA LTD</t>
  </si>
  <si>
    <t>RHODAPEX ESBH 28/R SLES 28 (Oct'16)</t>
  </si>
  <si>
    <t xml:space="preserve">Rate negotiation against revised offer </t>
  </si>
  <si>
    <t>Nov'16 to Oct'17</t>
  </si>
  <si>
    <t>SUNSHINE INDIA INC.</t>
  </si>
  <si>
    <t>SALCARE SUPER 7 (POLYQUATERNIUM 7 )</t>
  </si>
  <si>
    <t>Rate Negotiation with Sunshine, previously we have taken from ARK Chem.</t>
  </si>
  <si>
    <t>Caustic Soda 67 MT buying back for Baddi at lesser rate</t>
  </si>
  <si>
    <t>D.K.Chemical</t>
  </si>
  <si>
    <t>Taloja</t>
  </si>
  <si>
    <t>Phos.Acid-Ketul Chem</t>
  </si>
  <si>
    <t>Rate - RSGARK</t>
  </si>
  <si>
    <t>Rate - Ketul</t>
  </si>
  <si>
    <t>Rate - ARK</t>
  </si>
  <si>
    <t>Rate -Sunshine</t>
  </si>
  <si>
    <t>Tax</t>
  </si>
  <si>
    <t>Less Excise</t>
  </si>
  <si>
    <t>Less Tax</t>
  </si>
  <si>
    <t>Saving</t>
  </si>
  <si>
    <t xml:space="preserve"> SLES 28</t>
  </si>
  <si>
    <t>As per offer</t>
  </si>
  <si>
    <t>present rate</t>
  </si>
  <si>
    <t>On Dec 2016</t>
  </si>
  <si>
    <t>Dec'16  to Nov'17</t>
  </si>
  <si>
    <t>CHEMSPEC CHEMICALS PVT.LTD</t>
  </si>
  <si>
    <t>Rate negotiation with R.R.Innovative, as regula vendor Vaghani Inc has hiked rate</t>
  </si>
  <si>
    <t xml:space="preserve">Further Rate negotiation </t>
  </si>
  <si>
    <t xml:space="preserve">Old rate </t>
  </si>
  <si>
    <t>GUM ROSIN -OLD VAGHANI vs NEW RR Innovative</t>
  </si>
  <si>
    <t>TRICHLORO CARBANILIDE(TCC)-Chemspec earlier vs new</t>
  </si>
  <si>
    <t>1. Develop R.R.Innovative as alternate source of Gum Rosin, after taken plant trial and approval from R &amp; D</t>
  </si>
  <si>
    <t>Dec'16  to Mar 17</t>
  </si>
  <si>
    <t>Dec 16 to Nov 17</t>
  </si>
  <si>
    <t>(11.48+22.95)</t>
  </si>
  <si>
    <t>Rate negotiation (Old Chemsec-Belchem)</t>
  </si>
  <si>
    <t>Rate negotiation (Belchem - New Chemspec)</t>
  </si>
  <si>
    <t>On Jan 2017</t>
  </si>
  <si>
    <t>Jan'17 to Dec'17</t>
  </si>
  <si>
    <t>Ketan Chemical</t>
  </si>
  <si>
    <t>Further Rate negotiation with Ketan Chem</t>
  </si>
  <si>
    <t>Dec'16  to Nov17</t>
  </si>
  <si>
    <t>On Feb 2017</t>
  </si>
  <si>
    <t>GALAXY SURFACANTS LTD</t>
  </si>
  <si>
    <t>Sodium Cocoyl Glycinate - 25%</t>
  </si>
  <si>
    <t xml:space="preserve">Due to high price by Air &amp; long lead time by Sea of Innospec make Iselux Flakes, we have introduce Galaxy make SCG 25% </t>
  </si>
  <si>
    <t>Feb 17 to Jan 16</t>
  </si>
  <si>
    <t>Rate comparison between Iselux &amp; SCG25%</t>
  </si>
  <si>
    <t>Rate by Innospec</t>
  </si>
  <si>
    <t>Rate by Galaxy</t>
  </si>
  <si>
    <t>Old rate-Shivchem</t>
  </si>
  <si>
    <t>Nov'16 to Oct'17  (Benefit part of air  freight in urgency to be considered one time)</t>
  </si>
  <si>
    <t>1. Introduce Galaxy in place of Innospec as  Sodium Cocoyl Glycinate 25% for Dr.Synder Project, which gives better cost savings and less delivery time</t>
  </si>
  <si>
    <t>2.  Introduction of Local vendor for Gum Rosin, Sudarshan Chempro, whose 1st sample is also gives a good result in baddi trial.</t>
  </si>
  <si>
    <t>Point to be highlighted</t>
  </si>
  <si>
    <t>3.   For Oriflame and CPD Talc, already pushed R &amp; D and Marketing to take trial on hi tech talc which gives good cost advantage.</t>
  </si>
  <si>
    <t>Cost Improvement of RM</t>
  </si>
  <si>
    <t>Major Items:</t>
  </si>
  <si>
    <t>Caustic Lye:</t>
  </si>
  <si>
    <t>in Laks</t>
  </si>
  <si>
    <t>RNCC and talc</t>
  </si>
  <si>
    <t>Sorbitol</t>
  </si>
  <si>
    <t>Gum Rosin</t>
  </si>
  <si>
    <t>On Mar 2017</t>
  </si>
  <si>
    <t>April16 to Feb'17</t>
  </si>
  <si>
    <t>IN HOUSE PRODUCTION</t>
  </si>
  <si>
    <t xml:space="preserve">DCFA </t>
  </si>
  <si>
    <t>1. Inhouse DCFA introduced in place of Godrej make DCFA for Oriflame Soap, it help us to save cost in RM &amp; freight.</t>
  </si>
  <si>
    <t>previously we purchased from Godrej, which is costlier than our in house production, which I have taken initiate &amp; started using 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</si>
</sst>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Border="1" applyAlignment="1"/>
    <xf numFmtId="2" fontId="0" fillId="0" borderId="1" xfId="0" applyNumberFormat="1" applyBorder="1"/>
    <xf numFmtId="1" fontId="0" fillId="0" borderId="0" xfId="0" applyNumberFormat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/>
    <xf numFmtId="2" fontId="1" fillId="0" borderId="1" xfId="0" applyNumberFormat="1" applyFont="1" applyBorder="1"/>
    <xf numFmtId="0" fontId="0" fillId="0" borderId="1" xfId="0" applyFill="1" applyBorder="1" applyAlignment="1">
      <alignment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5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vertical="top"/>
    </xf>
    <xf numFmtId="3" fontId="1" fillId="0" borderId="1" xfId="0" applyNumberFormat="1" applyFont="1" applyFill="1" applyBorder="1"/>
    <xf numFmtId="3" fontId="0" fillId="0" borderId="1" xfId="0" applyNumberFormat="1" applyFill="1" applyBorder="1"/>
    <xf numFmtId="3" fontId="0" fillId="0" borderId="1" xfId="0" applyNumberFormat="1" applyBorder="1"/>
    <xf numFmtId="3" fontId="0" fillId="0" borderId="1" xfId="0" applyNumberFormat="1" applyFill="1" applyBorder="1" applyAlignment="1">
      <alignment vertical="top"/>
    </xf>
    <xf numFmtId="3" fontId="0" fillId="2" borderId="1" xfId="0" applyNumberFormat="1" applyFill="1" applyBorder="1"/>
    <xf numFmtId="3" fontId="0" fillId="0" borderId="1" xfId="0" applyNumberFormat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3" fontId="1" fillId="0" borderId="0" xfId="0" applyNumberFormat="1" applyFont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top"/>
    </xf>
    <xf numFmtId="2" fontId="0" fillId="5" borderId="1" xfId="0" applyNumberFormat="1" applyFill="1" applyBorder="1"/>
    <xf numFmtId="3" fontId="0" fillId="5" borderId="1" xfId="0" applyNumberFormat="1" applyFill="1" applyBorder="1" applyAlignment="1">
      <alignment vertical="top"/>
    </xf>
    <xf numFmtId="0" fontId="5" fillId="5" borderId="1" xfId="0" applyFont="1" applyFill="1" applyBorder="1"/>
    <xf numFmtId="0" fontId="0" fillId="4" borderId="1" xfId="0" applyFont="1" applyFill="1" applyBorder="1"/>
    <xf numFmtId="0" fontId="0" fillId="0" borderId="6" xfId="0" applyFill="1" applyBorder="1" applyAlignment="1">
      <alignment vertical="top"/>
    </xf>
    <xf numFmtId="0" fontId="0" fillId="0" borderId="0" xfId="0" applyBorder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7" fontId="0" fillId="0" borderId="1" xfId="0" applyNumberFormat="1" applyBorder="1" applyAlignment="1">
      <alignment horizontal="left" wrapText="1"/>
    </xf>
    <xf numFmtId="3" fontId="0" fillId="0" borderId="0" xfId="0" applyNumberFormat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Font="1" applyFill="1" applyBorder="1"/>
    <xf numFmtId="2" fontId="0" fillId="0" borderId="7" xfId="0" applyNumberFormat="1" applyFill="1" applyBorder="1"/>
    <xf numFmtId="3" fontId="0" fillId="0" borderId="7" xfId="0" applyNumberFormat="1" applyBorder="1"/>
    <xf numFmtId="3" fontId="0" fillId="0" borderId="7" xfId="0" applyNumberFormat="1" applyFill="1" applyBorder="1"/>
    <xf numFmtId="3" fontId="0" fillId="0" borderId="1" xfId="0" applyNumberFormat="1" applyFont="1" applyFill="1" applyBorder="1"/>
    <xf numFmtId="17" fontId="0" fillId="0" borderId="1" xfId="0" applyNumberFormat="1" applyBorder="1"/>
    <xf numFmtId="3" fontId="0" fillId="0" borderId="1" xfId="0" applyNumberFormat="1" applyFont="1" applyBorder="1"/>
    <xf numFmtId="0" fontId="0" fillId="0" borderId="0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opLeftCell="A3" workbookViewId="0">
      <selection activeCell="D18" sqref="D18"/>
    </sheetView>
  </sheetViews>
  <sheetFormatPr defaultRowHeight="15" x14ac:dyDescent="0.25"/>
  <cols>
    <col min="1" max="1" width="9.7109375" bestFit="1" customWidth="1"/>
    <col min="2" max="2" width="21.7109375" bestFit="1" customWidth="1"/>
    <col min="3" max="3" width="21.42578125" customWidth="1"/>
    <col min="4" max="4" width="42.140625" bestFit="1" customWidth="1"/>
    <col min="5" max="5" width="17.85546875" bestFit="1" customWidth="1"/>
    <col min="6" max="6" width="16.140625" bestFit="1" customWidth="1"/>
    <col min="7" max="7" width="25.140625" bestFit="1" customWidth="1"/>
    <col min="8" max="8" width="12.140625" bestFit="1" customWidth="1"/>
    <col min="9" max="9" width="106.7109375" bestFit="1" customWidth="1"/>
  </cols>
  <sheetData>
    <row r="1" spans="1:32" x14ac:dyDescent="0.25">
      <c r="A1" s="5"/>
      <c r="B1" s="5"/>
      <c r="C1" s="5" t="s">
        <v>42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5"/>
      <c r="C2" s="5"/>
      <c r="D2" s="5"/>
      <c r="E2" s="5"/>
      <c r="F2" s="5"/>
      <c r="G2" s="12"/>
      <c r="H2" s="12"/>
      <c r="I2" s="13" t="s"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13" t="s">
        <v>5</v>
      </c>
      <c r="B3" s="13" t="s">
        <v>9</v>
      </c>
      <c r="C3" s="13" t="s">
        <v>0</v>
      </c>
      <c r="D3" s="13" t="s">
        <v>1</v>
      </c>
      <c r="E3" s="13" t="s">
        <v>2</v>
      </c>
      <c r="F3" s="13" t="s">
        <v>86</v>
      </c>
      <c r="G3" s="13" t="s">
        <v>103</v>
      </c>
      <c r="H3" s="13" t="s">
        <v>106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6</v>
      </c>
      <c r="B4" s="5" t="s">
        <v>16</v>
      </c>
      <c r="C4" s="5" t="s">
        <v>17</v>
      </c>
      <c r="D4" s="6" t="s">
        <v>18</v>
      </c>
      <c r="E4" s="5">
        <v>1000</v>
      </c>
      <c r="F4" s="9">
        <v>17.21</v>
      </c>
      <c r="G4" s="14">
        <f t="shared" ref="G4:G9" si="0">E4*F4</f>
        <v>17210</v>
      </c>
      <c r="H4" s="14"/>
      <c r="I4" s="5" t="s">
        <v>118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30" x14ac:dyDescent="0.25">
      <c r="A5" s="5" t="s">
        <v>7</v>
      </c>
      <c r="B5" s="5" t="s">
        <v>12</v>
      </c>
      <c r="C5" s="15" t="s">
        <v>31</v>
      </c>
      <c r="D5" s="6" t="s">
        <v>8</v>
      </c>
      <c r="E5" s="5">
        <v>250</v>
      </c>
      <c r="F5" s="9">
        <v>91.8</v>
      </c>
      <c r="G5" s="14">
        <f t="shared" si="0"/>
        <v>22950</v>
      </c>
      <c r="H5" s="14"/>
      <c r="I5" s="5" t="s">
        <v>119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7</v>
      </c>
      <c r="B6" s="5" t="s">
        <v>16</v>
      </c>
      <c r="C6" s="5" t="s">
        <v>20</v>
      </c>
      <c r="D6" s="6" t="s">
        <v>21</v>
      </c>
      <c r="E6" s="5">
        <v>375</v>
      </c>
      <c r="F6" s="9">
        <v>91.18</v>
      </c>
      <c r="G6" s="14">
        <f t="shared" si="0"/>
        <v>34192.5</v>
      </c>
      <c r="H6" s="9"/>
      <c r="I6" s="5" t="s">
        <v>22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7</v>
      </c>
      <c r="B7" s="5" t="s">
        <v>16</v>
      </c>
      <c r="C7" s="5" t="s">
        <v>23</v>
      </c>
      <c r="D7" s="6" t="s">
        <v>38</v>
      </c>
      <c r="E7" s="5">
        <v>30</v>
      </c>
      <c r="F7" s="9">
        <v>19.510000000000002</v>
      </c>
      <c r="G7" s="14">
        <f t="shared" si="0"/>
        <v>585.30000000000007</v>
      </c>
      <c r="H7" s="14"/>
      <c r="I7" s="5" t="s">
        <v>24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7</v>
      </c>
      <c r="B8" s="5" t="s">
        <v>16</v>
      </c>
      <c r="C8" s="5" t="s">
        <v>23</v>
      </c>
      <c r="D8" s="6" t="s">
        <v>25</v>
      </c>
      <c r="E8" s="5">
        <v>530</v>
      </c>
      <c r="F8" s="9">
        <v>11.48</v>
      </c>
      <c r="G8" s="14">
        <f t="shared" si="0"/>
        <v>6084.4000000000005</v>
      </c>
      <c r="H8" s="14"/>
      <c r="I8" s="5" t="s">
        <v>24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7</v>
      </c>
      <c r="B9" s="5" t="s">
        <v>16</v>
      </c>
      <c r="C9" s="5" t="s">
        <v>26</v>
      </c>
      <c r="D9" s="6" t="s">
        <v>27</v>
      </c>
      <c r="E9" s="5">
        <v>3500</v>
      </c>
      <c r="F9" s="9">
        <v>6</v>
      </c>
      <c r="G9" s="14">
        <f t="shared" si="0"/>
        <v>21000</v>
      </c>
      <c r="H9" s="14"/>
      <c r="I9" s="5" t="s">
        <v>28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7</v>
      </c>
      <c r="B10" s="5" t="s">
        <v>85</v>
      </c>
      <c r="C10" s="5" t="s">
        <v>40</v>
      </c>
      <c r="D10" s="6" t="s">
        <v>41</v>
      </c>
      <c r="E10" s="5">
        <v>200</v>
      </c>
      <c r="F10" s="9">
        <v>5.94</v>
      </c>
      <c r="G10" s="14">
        <f t="shared" ref="G10:G15" si="1">E10*F10</f>
        <v>1188</v>
      </c>
      <c r="H10" s="9"/>
      <c r="I10" s="5" t="s">
        <v>152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7</v>
      </c>
      <c r="B11" s="5" t="s">
        <v>87</v>
      </c>
      <c r="C11" s="5" t="s">
        <v>32</v>
      </c>
      <c r="D11" s="6" t="s">
        <v>33</v>
      </c>
      <c r="E11" s="5">
        <v>250</v>
      </c>
      <c r="F11" s="9">
        <v>38.86</v>
      </c>
      <c r="G11" s="14">
        <f t="shared" si="1"/>
        <v>9715</v>
      </c>
      <c r="H11" s="5"/>
      <c r="I11" s="5" t="s">
        <v>93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7</v>
      </c>
      <c r="B12" s="5" t="s">
        <v>34</v>
      </c>
      <c r="C12" s="5" t="s">
        <v>35</v>
      </c>
      <c r="D12" s="6" t="s">
        <v>36</v>
      </c>
      <c r="E12" s="5">
        <v>1088.5</v>
      </c>
      <c r="F12" s="14">
        <v>118.83</v>
      </c>
      <c r="G12" s="14">
        <f t="shared" si="1"/>
        <v>129346.455</v>
      </c>
      <c r="H12" s="5"/>
      <c r="I12" s="5" t="s">
        <v>94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7</v>
      </c>
      <c r="B13" s="5" t="s">
        <v>30</v>
      </c>
      <c r="C13" s="5" t="s">
        <v>19</v>
      </c>
      <c r="D13" s="6" t="s">
        <v>88</v>
      </c>
      <c r="E13" s="5">
        <v>215</v>
      </c>
      <c r="F13" s="14">
        <v>21.98</v>
      </c>
      <c r="G13" s="14">
        <f t="shared" si="1"/>
        <v>4725.7</v>
      </c>
      <c r="H13" s="5"/>
      <c r="I13" s="5" t="s">
        <v>95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6</v>
      </c>
      <c r="B14" s="5" t="s">
        <v>12</v>
      </c>
      <c r="C14" s="5" t="s">
        <v>13</v>
      </c>
      <c r="D14" s="6" t="s">
        <v>14</v>
      </c>
      <c r="E14" s="6">
        <v>50</v>
      </c>
      <c r="F14" s="14">
        <v>72.87</v>
      </c>
      <c r="G14" s="14">
        <f t="shared" si="1"/>
        <v>3643.5</v>
      </c>
      <c r="H14" s="5"/>
      <c r="I14" s="5" t="s">
        <v>96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1" customFormat="1" ht="21.75" customHeight="1" x14ac:dyDescent="0.25">
      <c r="A15" s="15" t="s">
        <v>7</v>
      </c>
      <c r="B15" s="5" t="s">
        <v>85</v>
      </c>
      <c r="C15" s="15" t="s">
        <v>178</v>
      </c>
      <c r="D15" s="24" t="s">
        <v>179</v>
      </c>
      <c r="E15" s="5">
        <v>400</v>
      </c>
      <c r="F15" s="9">
        <v>4.75</v>
      </c>
      <c r="G15" s="25">
        <f t="shared" si="1"/>
        <v>1900</v>
      </c>
      <c r="H15" s="14"/>
      <c r="I15" s="11" t="s">
        <v>180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1" customFormat="1" x14ac:dyDescent="0.25">
      <c r="A16" s="27"/>
      <c r="B16" s="27"/>
      <c r="C16" s="28"/>
      <c r="D16" s="29"/>
      <c r="E16" s="27"/>
      <c r="F16" s="30"/>
      <c r="G16" s="31"/>
      <c r="H16" s="30"/>
      <c r="I16" s="27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7</v>
      </c>
      <c r="B17" s="5" t="s">
        <v>98</v>
      </c>
      <c r="C17" s="5" t="s">
        <v>97</v>
      </c>
      <c r="D17" s="6" t="s">
        <v>33</v>
      </c>
      <c r="E17" s="5">
        <v>250</v>
      </c>
      <c r="F17" s="14">
        <v>50.5</v>
      </c>
      <c r="G17" s="14"/>
      <c r="H17" s="5">
        <f>E17*F17</f>
        <v>12625</v>
      </c>
      <c r="I17" s="5" t="s">
        <v>115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11</v>
      </c>
      <c r="B18" s="5" t="s">
        <v>98</v>
      </c>
      <c r="C18" s="5" t="s">
        <v>99</v>
      </c>
      <c r="D18" s="6" t="s">
        <v>100</v>
      </c>
      <c r="E18" s="6">
        <v>500</v>
      </c>
      <c r="F18" s="14">
        <v>1.02</v>
      </c>
      <c r="G18" s="5"/>
      <c r="H18" s="5">
        <f t="shared" ref="H18:H23" si="2">E18*F18</f>
        <v>510</v>
      </c>
      <c r="I18" s="5" t="s">
        <v>104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6" t="s">
        <v>11</v>
      </c>
      <c r="B19" s="6" t="s">
        <v>98</v>
      </c>
      <c r="C19" s="6" t="s">
        <v>10</v>
      </c>
      <c r="D19" s="6" t="s">
        <v>101</v>
      </c>
      <c r="E19" s="6">
        <v>1000</v>
      </c>
      <c r="F19" s="6">
        <v>1.1499999999999999</v>
      </c>
      <c r="G19" s="6"/>
      <c r="H19" s="6">
        <f t="shared" si="2"/>
        <v>1150</v>
      </c>
      <c r="I19" s="6" t="s">
        <v>104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11" t="s">
        <v>6</v>
      </c>
      <c r="B20" s="5" t="s">
        <v>98</v>
      </c>
      <c r="C20" s="5" t="s">
        <v>63</v>
      </c>
      <c r="D20" s="5" t="s">
        <v>102</v>
      </c>
      <c r="E20" s="6">
        <v>146000</v>
      </c>
      <c r="F20" s="14">
        <v>1.1000000000000001</v>
      </c>
      <c r="G20" s="5"/>
      <c r="H20" s="5">
        <f t="shared" si="2"/>
        <v>160600</v>
      </c>
      <c r="I20" s="11" t="s">
        <v>105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s="1" customFormat="1" ht="30" x14ac:dyDescent="0.25">
      <c r="A21" s="11" t="s">
        <v>7</v>
      </c>
      <c r="B21" s="11" t="s">
        <v>116</v>
      </c>
      <c r="C21" s="19" t="s">
        <v>129</v>
      </c>
      <c r="D21" s="11" t="s">
        <v>117</v>
      </c>
      <c r="E21" s="6">
        <v>50000</v>
      </c>
      <c r="F21" s="14">
        <v>0.2</v>
      </c>
      <c r="G21" s="5"/>
      <c r="H21" s="5">
        <f t="shared" si="2"/>
        <v>10000</v>
      </c>
      <c r="I21" s="11" t="s">
        <v>122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s="1" customFormat="1" x14ac:dyDescent="0.25">
      <c r="A22" s="11" t="s">
        <v>7</v>
      </c>
      <c r="B22" s="11" t="s">
        <v>116</v>
      </c>
      <c r="C22" s="11" t="s">
        <v>120</v>
      </c>
      <c r="D22" s="11" t="s">
        <v>121</v>
      </c>
      <c r="E22" s="6">
        <v>2400</v>
      </c>
      <c r="F22" s="14">
        <v>9</v>
      </c>
      <c r="G22" s="5"/>
      <c r="H22" s="5">
        <f t="shared" si="2"/>
        <v>21600</v>
      </c>
      <c r="I22" s="11" t="s">
        <v>123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s="1" customFormat="1" x14ac:dyDescent="0.25">
      <c r="A23" s="11" t="s">
        <v>6</v>
      </c>
      <c r="B23" s="11" t="s">
        <v>116</v>
      </c>
      <c r="C23" s="11" t="s">
        <v>124</v>
      </c>
      <c r="D23" s="11" t="s">
        <v>125</v>
      </c>
      <c r="E23" s="6">
        <v>322</v>
      </c>
      <c r="F23" s="14">
        <v>40</v>
      </c>
      <c r="G23" s="5"/>
      <c r="H23" s="5">
        <f t="shared" si="2"/>
        <v>12880</v>
      </c>
      <c r="I23" s="11" t="s">
        <v>126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/>
      <c r="B24" s="5"/>
      <c r="C24" s="5"/>
      <c r="D24" s="5"/>
      <c r="E24" s="5"/>
      <c r="F24" s="13" t="s">
        <v>4</v>
      </c>
      <c r="G24" s="18">
        <f>SUM(G4:G20)</f>
        <v>252540.85500000001</v>
      </c>
      <c r="H24" s="18">
        <f>SUM(H4:H23)</f>
        <v>219365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5">
      <c r="E26" t="s">
        <v>39</v>
      </c>
      <c r="G26" s="3">
        <f>G24+H24</f>
        <v>471905.85499999998</v>
      </c>
    </row>
    <row r="29" spans="1:32" x14ac:dyDescent="0.25">
      <c r="B29" s="20" t="s">
        <v>133</v>
      </c>
    </row>
    <row r="30" spans="1:32" x14ac:dyDescent="0.25">
      <c r="B30" t="s">
        <v>128</v>
      </c>
    </row>
    <row r="31" spans="1:32" x14ac:dyDescent="0.25">
      <c r="B31" t="s">
        <v>127</v>
      </c>
    </row>
    <row r="32" spans="1:32" x14ac:dyDescent="0.25">
      <c r="B32" t="s">
        <v>130</v>
      </c>
    </row>
    <row r="33" spans="2:2" x14ac:dyDescent="0.25">
      <c r="B33" t="s">
        <v>131</v>
      </c>
    </row>
    <row r="34" spans="2:2" x14ac:dyDescent="0.25">
      <c r="B34" t="s">
        <v>135</v>
      </c>
    </row>
    <row r="35" spans="2:2" x14ac:dyDescent="0.25">
      <c r="B35" t="s">
        <v>132</v>
      </c>
    </row>
    <row r="36" spans="2:2" x14ac:dyDescent="0.25">
      <c r="B36" t="s">
        <v>134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4"/>
    </sheetView>
  </sheetViews>
  <sheetFormatPr defaultRowHeight="15" x14ac:dyDescent="0.25"/>
  <cols>
    <col min="1" max="1" width="21.7109375" bestFit="1" customWidth="1"/>
    <col min="2" max="2" width="29" bestFit="1" customWidth="1"/>
    <col min="3" max="3" width="34.28515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74.5703125" bestFit="1" customWidth="1"/>
  </cols>
  <sheetData>
    <row r="1" spans="1:8" x14ac:dyDescent="0.25">
      <c r="A1" s="5"/>
      <c r="B1" s="5" t="s">
        <v>306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 t="s">
        <v>98</v>
      </c>
      <c r="B4" s="11" t="s">
        <v>63</v>
      </c>
      <c r="C4" s="24" t="s">
        <v>102</v>
      </c>
      <c r="D4" s="6">
        <v>125000</v>
      </c>
      <c r="E4" s="14">
        <v>1.1000000000000001</v>
      </c>
      <c r="F4" s="34"/>
      <c r="G4" s="33">
        <f t="shared" ref="G4:G9" si="0">D4*E4</f>
        <v>137500</v>
      </c>
      <c r="H4" s="11" t="s">
        <v>105</v>
      </c>
    </row>
    <row r="5" spans="1:8" x14ac:dyDescent="0.25">
      <c r="A5" s="5" t="s">
        <v>310</v>
      </c>
      <c r="B5" s="5" t="s">
        <v>294</v>
      </c>
      <c r="C5" s="5" t="s">
        <v>112</v>
      </c>
      <c r="D5" s="5">
        <v>300</v>
      </c>
      <c r="E5" s="5">
        <v>34.43</v>
      </c>
      <c r="F5" s="5"/>
      <c r="G5" s="33">
        <f t="shared" si="0"/>
        <v>10329</v>
      </c>
      <c r="H5" s="5" t="s">
        <v>24</v>
      </c>
    </row>
    <row r="6" spans="1:8" x14ac:dyDescent="0.25">
      <c r="A6" s="11" t="s">
        <v>273</v>
      </c>
      <c r="B6" s="11" t="s">
        <v>274</v>
      </c>
      <c r="C6" s="45" t="s">
        <v>275</v>
      </c>
      <c r="D6" s="33">
        <v>100</v>
      </c>
      <c r="E6" s="14">
        <v>101</v>
      </c>
      <c r="F6" s="37"/>
      <c r="G6" s="35">
        <f t="shared" si="0"/>
        <v>10100</v>
      </c>
      <c r="H6" s="14" t="s">
        <v>276</v>
      </c>
    </row>
    <row r="7" spans="1:8" x14ac:dyDescent="0.25">
      <c r="A7" s="5" t="s">
        <v>108</v>
      </c>
      <c r="B7" s="5" t="s">
        <v>109</v>
      </c>
      <c r="C7" s="45" t="s">
        <v>110</v>
      </c>
      <c r="D7" s="11">
        <v>1200</v>
      </c>
      <c r="E7" s="14">
        <v>4.57</v>
      </c>
      <c r="F7" s="34"/>
      <c r="G7" s="33">
        <f t="shared" si="0"/>
        <v>5484</v>
      </c>
      <c r="H7" s="5" t="s">
        <v>113</v>
      </c>
    </row>
    <row r="8" spans="1:8" x14ac:dyDescent="0.25">
      <c r="A8" s="11" t="s">
        <v>245</v>
      </c>
      <c r="B8" s="11" t="s">
        <v>248</v>
      </c>
      <c r="C8" s="45" t="s">
        <v>250</v>
      </c>
      <c r="D8" s="11">
        <v>125000</v>
      </c>
      <c r="E8" s="14">
        <v>0.44</v>
      </c>
      <c r="F8" s="37"/>
      <c r="G8" s="35">
        <f t="shared" si="0"/>
        <v>55000</v>
      </c>
      <c r="H8" s="14" t="s">
        <v>251</v>
      </c>
    </row>
    <row r="9" spans="1:8" x14ac:dyDescent="0.25">
      <c r="A9" s="5" t="s">
        <v>307</v>
      </c>
      <c r="B9" s="15" t="s">
        <v>308</v>
      </c>
      <c r="C9" s="6" t="s">
        <v>8</v>
      </c>
      <c r="D9" s="6">
        <v>25</v>
      </c>
      <c r="E9" s="14">
        <v>17.21</v>
      </c>
      <c r="F9" s="34"/>
      <c r="G9" s="33">
        <f t="shared" si="0"/>
        <v>430.25</v>
      </c>
      <c r="H9" s="5" t="s">
        <v>309</v>
      </c>
    </row>
    <row r="10" spans="1:8" x14ac:dyDescent="0.25">
      <c r="G10" s="47">
        <f>SUM(G4:G9)</f>
        <v>218843.25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6" sqref="F16"/>
    </sheetView>
  </sheetViews>
  <sheetFormatPr defaultRowHeight="15" x14ac:dyDescent="0.25"/>
  <cols>
    <col min="1" max="1" width="21.7109375" bestFit="1" customWidth="1"/>
    <col min="2" max="2" width="31.7109375" bestFit="1" customWidth="1"/>
    <col min="3" max="3" width="37.28515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111.140625" bestFit="1" customWidth="1"/>
  </cols>
  <sheetData>
    <row r="1" spans="1:8" x14ac:dyDescent="0.25">
      <c r="A1" s="5"/>
      <c r="B1" s="5" t="s">
        <v>311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 t="s">
        <v>301</v>
      </c>
      <c r="B4" s="5" t="s">
        <v>294</v>
      </c>
      <c r="C4" s="5" t="s">
        <v>112</v>
      </c>
      <c r="D4" s="5">
        <v>650</v>
      </c>
      <c r="E4" s="5">
        <v>34.43</v>
      </c>
      <c r="F4" s="5"/>
      <c r="G4" s="33">
        <f t="shared" ref="G4:G9" si="0">D4*E4</f>
        <v>22379.5</v>
      </c>
      <c r="H4" s="5" t="s">
        <v>24</v>
      </c>
    </row>
    <row r="5" spans="1:8" x14ac:dyDescent="0.25">
      <c r="A5" s="11" t="s">
        <v>273</v>
      </c>
      <c r="B5" s="11" t="s">
        <v>274</v>
      </c>
      <c r="C5" s="45" t="s">
        <v>275</v>
      </c>
      <c r="D5" s="33">
        <v>25</v>
      </c>
      <c r="E5" s="14">
        <v>101</v>
      </c>
      <c r="F5" s="37"/>
      <c r="G5" s="35">
        <f t="shared" si="0"/>
        <v>2525</v>
      </c>
      <c r="H5" s="14" t="s">
        <v>276</v>
      </c>
    </row>
    <row r="6" spans="1:8" x14ac:dyDescent="0.25">
      <c r="A6" s="11" t="s">
        <v>245</v>
      </c>
      <c r="B6" s="11" t="s">
        <v>248</v>
      </c>
      <c r="C6" s="45" t="s">
        <v>250</v>
      </c>
      <c r="D6" s="11">
        <v>50000</v>
      </c>
      <c r="E6" s="14">
        <v>0.44</v>
      </c>
      <c r="F6" s="37"/>
      <c r="G6" s="35">
        <f t="shared" si="0"/>
        <v>22000</v>
      </c>
      <c r="H6" s="14" t="s">
        <v>251</v>
      </c>
    </row>
    <row r="7" spans="1:8" ht="30" x14ac:dyDescent="0.25">
      <c r="A7" s="63" t="s">
        <v>307</v>
      </c>
      <c r="B7" s="64" t="s">
        <v>308</v>
      </c>
      <c r="C7" s="65" t="s">
        <v>8</v>
      </c>
      <c r="D7" s="65">
        <v>75</v>
      </c>
      <c r="E7" s="66">
        <v>15.3</v>
      </c>
      <c r="F7" s="67"/>
      <c r="G7" s="68">
        <f t="shared" si="0"/>
        <v>1147.5</v>
      </c>
      <c r="H7" s="63" t="s">
        <v>309</v>
      </c>
    </row>
    <row r="8" spans="1:8" ht="75" x14ac:dyDescent="0.25">
      <c r="A8" s="19" t="s">
        <v>320</v>
      </c>
      <c r="B8" s="19" t="s">
        <v>312</v>
      </c>
      <c r="C8" s="6" t="s">
        <v>313</v>
      </c>
      <c r="D8" s="69">
        <v>1000</v>
      </c>
      <c r="E8" s="14">
        <v>689</v>
      </c>
      <c r="F8" s="33"/>
      <c r="G8" s="33">
        <f t="shared" si="0"/>
        <v>689000</v>
      </c>
      <c r="H8" s="11" t="s">
        <v>314</v>
      </c>
    </row>
    <row r="9" spans="1:8" s="1" customFormat="1" x14ac:dyDescent="0.25">
      <c r="A9" s="11" t="s">
        <v>315</v>
      </c>
      <c r="B9" s="19" t="s">
        <v>17</v>
      </c>
      <c r="C9" s="6" t="s">
        <v>18</v>
      </c>
      <c r="D9" s="69">
        <v>2000</v>
      </c>
      <c r="E9" s="14">
        <v>13.77</v>
      </c>
      <c r="F9" s="33"/>
      <c r="G9" s="33">
        <f t="shared" si="0"/>
        <v>27540</v>
      </c>
      <c r="H9" s="11"/>
    </row>
    <row r="13" spans="1:8" x14ac:dyDescent="0.25">
      <c r="A13" t="s">
        <v>323</v>
      </c>
    </row>
    <row r="14" spans="1:8" x14ac:dyDescent="0.25">
      <c r="A14" t="s">
        <v>321</v>
      </c>
    </row>
    <row r="15" spans="1:8" x14ac:dyDescent="0.25">
      <c r="A15" t="s">
        <v>322</v>
      </c>
    </row>
    <row r="16" spans="1:8" x14ac:dyDescent="0.25">
      <c r="A16" t="s">
        <v>324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" workbookViewId="0">
      <selection activeCell="H12" sqref="H12"/>
    </sheetView>
  </sheetViews>
  <sheetFormatPr defaultRowHeight="15" x14ac:dyDescent="0.25"/>
  <cols>
    <col min="1" max="1" width="21.7109375" bestFit="1" customWidth="1"/>
    <col min="2" max="2" width="11.85546875" bestFit="1" customWidth="1"/>
    <col min="3" max="3" width="18.140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73.85546875" bestFit="1" customWidth="1"/>
  </cols>
  <sheetData>
    <row r="1" spans="1:8" x14ac:dyDescent="0.25">
      <c r="A1" s="5"/>
      <c r="B1" s="5" t="s">
        <v>332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 t="s">
        <v>98</v>
      </c>
      <c r="B4" s="11" t="s">
        <v>63</v>
      </c>
      <c r="C4" s="24" t="s">
        <v>102</v>
      </c>
      <c r="D4" s="6">
        <v>15000</v>
      </c>
      <c r="E4" s="14">
        <v>1.1000000000000001</v>
      </c>
      <c r="F4" s="34"/>
      <c r="G4" s="33">
        <f t="shared" ref="G4:G7" si="0">D4*E4</f>
        <v>16500</v>
      </c>
      <c r="H4" s="11" t="s">
        <v>105</v>
      </c>
    </row>
    <row r="5" spans="1:8" x14ac:dyDescent="0.25">
      <c r="A5" s="5" t="s">
        <v>144</v>
      </c>
      <c r="B5" s="11" t="s">
        <v>145</v>
      </c>
      <c r="C5" s="6" t="s">
        <v>146</v>
      </c>
      <c r="D5" s="11">
        <v>500</v>
      </c>
      <c r="E5" s="14">
        <v>12.25</v>
      </c>
      <c r="F5" s="5"/>
      <c r="G5" s="33">
        <f t="shared" si="0"/>
        <v>6125</v>
      </c>
      <c r="H5" s="5" t="s">
        <v>147</v>
      </c>
    </row>
    <row r="6" spans="1:8" x14ac:dyDescent="0.25">
      <c r="A6" s="5" t="s">
        <v>301</v>
      </c>
      <c r="B6" s="5" t="s">
        <v>294</v>
      </c>
      <c r="C6" s="5" t="s">
        <v>112</v>
      </c>
      <c r="D6" s="5">
        <f>950+150</f>
        <v>1100</v>
      </c>
      <c r="E6" s="11">
        <v>23.95</v>
      </c>
      <c r="F6" s="5"/>
      <c r="G6" s="33">
        <f t="shared" si="0"/>
        <v>26345</v>
      </c>
      <c r="H6" s="5" t="s">
        <v>24</v>
      </c>
    </row>
    <row r="7" spans="1:8" ht="30" x14ac:dyDescent="0.25">
      <c r="A7" s="63" t="s">
        <v>307</v>
      </c>
      <c r="B7" s="64" t="s">
        <v>308</v>
      </c>
      <c r="C7" s="65" t="s">
        <v>8</v>
      </c>
      <c r="D7" s="65">
        <v>25</v>
      </c>
      <c r="E7" s="66">
        <v>8.85</v>
      </c>
      <c r="F7" s="67"/>
      <c r="G7" s="68">
        <f t="shared" si="0"/>
        <v>221.25</v>
      </c>
      <c r="H7" s="63" t="s">
        <v>309</v>
      </c>
    </row>
    <row r="8" spans="1:8" ht="45" x14ac:dyDescent="0.25">
      <c r="A8" s="11" t="s">
        <v>333</v>
      </c>
      <c r="B8" s="19" t="s">
        <v>334</v>
      </c>
      <c r="C8" s="6" t="s">
        <v>335</v>
      </c>
      <c r="D8" s="69">
        <v>1116.75</v>
      </c>
      <c r="E8" s="14"/>
      <c r="F8" s="33"/>
      <c r="G8" s="33">
        <f>71827+8934</f>
        <v>80761</v>
      </c>
      <c r="H8" s="11" t="s">
        <v>337</v>
      </c>
    </row>
    <row r="10" spans="1:8" x14ac:dyDescent="0.25">
      <c r="A10" t="s">
        <v>336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10" sqref="L10"/>
    </sheetView>
  </sheetViews>
  <sheetFormatPr defaultRowHeight="15" x14ac:dyDescent="0.25"/>
  <cols>
    <col min="2" max="2" width="11" bestFit="1" customWidth="1"/>
    <col min="5" max="5" width="28.42578125" bestFit="1" customWidth="1"/>
  </cols>
  <sheetData>
    <row r="1" spans="1:7" x14ac:dyDescent="0.25">
      <c r="A1" t="s">
        <v>325</v>
      </c>
    </row>
    <row r="3" spans="1:7" x14ac:dyDescent="0.25">
      <c r="A3" s="70">
        <v>42461</v>
      </c>
      <c r="B3" s="71">
        <v>471905.85499999998</v>
      </c>
      <c r="E3" s="5" t="s">
        <v>326</v>
      </c>
      <c r="F3" s="5"/>
      <c r="G3" s="5" t="s">
        <v>328</v>
      </c>
    </row>
    <row r="4" spans="1:7" x14ac:dyDescent="0.25">
      <c r="A4" s="70">
        <v>42491</v>
      </c>
      <c r="B4" s="34">
        <v>115810.6</v>
      </c>
      <c r="E4" s="5"/>
      <c r="F4" s="5"/>
      <c r="G4" s="5"/>
    </row>
    <row r="5" spans="1:7" x14ac:dyDescent="0.25">
      <c r="A5" s="70">
        <v>42522</v>
      </c>
      <c r="B5" s="34">
        <v>155643.75</v>
      </c>
      <c r="E5" s="5" t="s">
        <v>327</v>
      </c>
      <c r="F5" s="5"/>
      <c r="G5" s="5">
        <v>29.46</v>
      </c>
    </row>
    <row r="6" spans="1:7" x14ac:dyDescent="0.25">
      <c r="A6" s="70">
        <v>42552</v>
      </c>
      <c r="B6" s="34">
        <v>395530</v>
      </c>
      <c r="E6" s="6" t="s">
        <v>313</v>
      </c>
      <c r="F6" s="5"/>
      <c r="G6" s="5">
        <v>6.89</v>
      </c>
    </row>
    <row r="7" spans="1:7" x14ac:dyDescent="0.25">
      <c r="A7" s="70">
        <v>42583</v>
      </c>
      <c r="B7" s="34">
        <v>1036379.45</v>
      </c>
      <c r="E7" s="6" t="s">
        <v>329</v>
      </c>
      <c r="F7" s="5"/>
      <c r="G7" s="5">
        <v>8.7100000000000009</v>
      </c>
    </row>
    <row r="8" spans="1:7" x14ac:dyDescent="0.25">
      <c r="A8" s="70">
        <v>42614</v>
      </c>
      <c r="B8" s="34">
        <v>1819214.7</v>
      </c>
      <c r="E8" s="6" t="s">
        <v>330</v>
      </c>
      <c r="F8" s="5"/>
      <c r="G8" s="5">
        <v>1.64</v>
      </c>
    </row>
    <row r="9" spans="1:7" x14ac:dyDescent="0.25">
      <c r="A9" s="70">
        <v>42644</v>
      </c>
      <c r="B9" s="34">
        <v>773575.7</v>
      </c>
      <c r="E9" s="6" t="s">
        <v>331</v>
      </c>
      <c r="F9" s="5"/>
      <c r="G9" s="5">
        <v>1.24</v>
      </c>
    </row>
    <row r="10" spans="1:7" x14ac:dyDescent="0.25">
      <c r="A10" s="70">
        <v>42675</v>
      </c>
      <c r="B10" s="34">
        <v>280358.2</v>
      </c>
      <c r="E10" s="6" t="s">
        <v>18</v>
      </c>
      <c r="F10" s="5"/>
      <c r="G10" s="5">
        <v>1.1499999999999999</v>
      </c>
    </row>
    <row r="11" spans="1:7" x14ac:dyDescent="0.25">
      <c r="A11" s="70">
        <v>42705</v>
      </c>
      <c r="B11" s="34">
        <v>151440.30000000002</v>
      </c>
      <c r="E11" s="72"/>
    </row>
    <row r="12" spans="1:7" x14ac:dyDescent="0.25">
      <c r="A12" s="70">
        <v>42736</v>
      </c>
      <c r="B12" s="34">
        <v>218843.25</v>
      </c>
    </row>
    <row r="13" spans="1:7" x14ac:dyDescent="0.25">
      <c r="A13" s="70">
        <v>42767</v>
      </c>
      <c r="B13" s="34">
        <v>764592</v>
      </c>
    </row>
    <row r="14" spans="1:7" x14ac:dyDescent="0.25">
      <c r="A14" s="70">
        <v>42795</v>
      </c>
      <c r="B14" s="34"/>
    </row>
    <row r="15" spans="1:7" x14ac:dyDescent="0.25">
      <c r="A15" s="5"/>
      <c r="B15" s="5"/>
    </row>
    <row r="16" spans="1:7" x14ac:dyDescent="0.25">
      <c r="A16" s="5" t="s">
        <v>4</v>
      </c>
      <c r="B16" s="34">
        <f>SUM(B3:B15)</f>
        <v>6183293.8050000006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W45"/>
  <sheetViews>
    <sheetView workbookViewId="0">
      <pane xSplit="2" topLeftCell="CQ1" activePane="topRight" state="frozen"/>
      <selection activeCell="H1" sqref="H1"/>
      <selection pane="topRight" activeCell="CY15" sqref="CY15"/>
    </sheetView>
  </sheetViews>
  <sheetFormatPr defaultRowHeight="15" x14ac:dyDescent="0.25"/>
  <cols>
    <col min="1" max="1" width="3.85546875" style="1" customWidth="1"/>
    <col min="2" max="2" width="12.5703125" style="1" bestFit="1" customWidth="1"/>
    <col min="3" max="3" width="16.42578125" style="1" bestFit="1" customWidth="1"/>
    <col min="4" max="4" width="9.5703125" style="1" bestFit="1" customWidth="1"/>
    <col min="5" max="5" width="2.140625" style="1" customWidth="1"/>
    <col min="6" max="6" width="9.140625" style="1"/>
    <col min="7" max="7" width="16.28515625" style="1" bestFit="1" customWidth="1"/>
    <col min="8" max="8" width="9.5703125" style="1" bestFit="1" customWidth="1"/>
    <col min="9" max="9" width="9.140625" style="1"/>
    <col min="10" max="10" width="16.7109375" style="1" bestFit="1" customWidth="1"/>
    <col min="11" max="11" width="14.42578125" style="1" bestFit="1" customWidth="1"/>
    <col min="12" max="12" width="13.28515625" style="1" bestFit="1" customWidth="1"/>
    <col min="13" max="13" width="21.140625" style="1" bestFit="1" customWidth="1"/>
    <col min="14" max="14" width="9.140625" style="1"/>
    <col min="15" max="15" width="16.85546875" style="1" bestFit="1" customWidth="1"/>
    <col min="16" max="16" width="17.85546875" style="1" bestFit="1" customWidth="1"/>
    <col min="17" max="17" width="40.140625" style="1" bestFit="1" customWidth="1"/>
    <col min="18" max="18" width="9.140625" style="1"/>
    <col min="19" max="19" width="18.85546875" style="1" bestFit="1" customWidth="1"/>
    <col min="20" max="21" width="9.140625" style="1"/>
    <col min="22" max="22" width="24.42578125" style="1" bestFit="1" customWidth="1"/>
    <col min="23" max="23" width="9.140625" style="1"/>
    <col min="24" max="24" width="12.42578125" style="1" bestFit="1" customWidth="1"/>
    <col min="25" max="25" width="18.7109375" style="1" bestFit="1" customWidth="1"/>
    <col min="26" max="26" width="9.140625" style="1"/>
    <col min="27" max="27" width="8.140625" style="1" bestFit="1" customWidth="1"/>
    <col min="28" max="28" width="16.7109375" style="1" bestFit="1" customWidth="1"/>
    <col min="29" max="30" width="9.140625" style="1"/>
    <col min="31" max="31" width="24.5703125" style="1" bestFit="1" customWidth="1"/>
    <col min="32" max="32" width="9.140625" style="1"/>
    <col min="33" max="33" width="18.28515625" style="1" bestFit="1" customWidth="1"/>
    <col min="34" max="34" width="37.140625" style="1" bestFit="1" customWidth="1"/>
    <col min="35" max="36" width="9.140625" style="1"/>
    <col min="37" max="37" width="19.28515625" style="1" bestFit="1" customWidth="1"/>
    <col min="38" max="38" width="19.28515625" style="1" customWidth="1"/>
    <col min="39" max="39" width="10.140625" style="1" bestFit="1" customWidth="1"/>
    <col min="40" max="40" width="9.140625" style="1"/>
    <col min="41" max="42" width="18.28515625" style="1" bestFit="1" customWidth="1"/>
    <col min="43" max="43" width="9.140625" style="1"/>
    <col min="44" max="44" width="16.28515625" style="1" bestFit="1" customWidth="1"/>
    <col min="45" max="45" width="19.140625" style="1" bestFit="1" customWidth="1"/>
    <col min="46" max="46" width="9.140625" style="1"/>
    <col min="47" max="47" width="13.42578125" style="1" bestFit="1" customWidth="1"/>
    <col min="48" max="48" width="18.7109375" style="1" bestFit="1" customWidth="1"/>
    <col min="49" max="49" width="9.140625" style="1"/>
    <col min="50" max="51" width="11.85546875" style="1" bestFit="1" customWidth="1"/>
    <col min="52" max="52" width="9.140625" style="1"/>
    <col min="53" max="53" width="10.85546875" style="1" customWidth="1"/>
    <col min="54" max="54" width="11.28515625" style="1" customWidth="1"/>
    <col min="55" max="56" width="9.140625" style="1"/>
    <col min="57" max="57" width="18" style="1" customWidth="1"/>
    <col min="58" max="58" width="9.140625" style="1"/>
    <col min="59" max="59" width="11.85546875" style="1" bestFit="1" customWidth="1"/>
    <col min="60" max="60" width="13.140625" style="1" bestFit="1" customWidth="1"/>
    <col min="61" max="64" width="9.140625" style="1"/>
    <col min="65" max="65" width="13.140625" style="1" customWidth="1"/>
    <col min="66" max="66" width="13.85546875" style="1" customWidth="1"/>
    <col min="67" max="67" width="9.140625" style="1"/>
    <col min="68" max="68" width="16" style="1" customWidth="1"/>
    <col min="69" max="69" width="17.28515625" style="1" customWidth="1"/>
    <col min="70" max="70" width="9.140625" style="1"/>
    <col min="71" max="71" width="12.5703125" style="1" customWidth="1"/>
    <col min="72" max="72" width="12.42578125" style="1" bestFit="1" customWidth="1"/>
    <col min="73" max="80" width="9.140625" style="1"/>
    <col min="81" max="81" width="11.85546875" style="1" bestFit="1" customWidth="1"/>
    <col min="82" max="83" width="9.140625" style="1"/>
    <col min="84" max="84" width="16.7109375" style="1" bestFit="1" customWidth="1"/>
    <col min="85" max="85" width="16.140625" style="1" customWidth="1"/>
    <col min="86" max="86" width="9.140625" style="1"/>
    <col min="87" max="87" width="11.42578125" style="1" bestFit="1" customWidth="1"/>
    <col min="88" max="88" width="11.85546875" style="1" bestFit="1" customWidth="1"/>
    <col min="89" max="89" width="9.140625" style="1"/>
    <col min="90" max="90" width="24.140625" style="1" customWidth="1"/>
    <col min="91" max="91" width="15.5703125" style="1" customWidth="1"/>
    <col min="92" max="92" width="9.140625" style="1"/>
    <col min="93" max="93" width="19.7109375" style="1" customWidth="1"/>
    <col min="94" max="94" width="52" style="1" bestFit="1" customWidth="1"/>
    <col min="95" max="96" width="9.140625" style="1"/>
    <col min="97" max="97" width="28.42578125" style="1" bestFit="1" customWidth="1"/>
    <col min="98" max="99" width="9.140625" style="1"/>
    <col min="100" max="100" width="20.85546875" style="1" customWidth="1"/>
    <col min="101" max="16384" width="9.140625" style="1"/>
  </cols>
  <sheetData>
    <row r="1" spans="2:101" x14ac:dyDescent="0.25">
      <c r="B1" s="1" t="s">
        <v>43</v>
      </c>
      <c r="BA1" s="23"/>
      <c r="BB1" s="23"/>
    </row>
    <row r="2" spans="2:101" x14ac:dyDescent="0.25">
      <c r="B2" s="5"/>
      <c r="C2" s="79" t="s">
        <v>44</v>
      </c>
      <c r="D2" s="79"/>
      <c r="F2" s="5"/>
      <c r="G2" s="6" t="s">
        <v>45</v>
      </c>
      <c r="I2" s="5"/>
      <c r="J2" s="6" t="s">
        <v>46</v>
      </c>
      <c r="L2" s="5"/>
      <c r="M2" s="6" t="s">
        <v>47</v>
      </c>
      <c r="O2" s="5"/>
      <c r="P2" s="6" t="s">
        <v>48</v>
      </c>
      <c r="R2" s="5"/>
      <c r="S2" s="6" t="s">
        <v>49</v>
      </c>
      <c r="U2" s="5"/>
      <c r="V2" s="6" t="s">
        <v>50</v>
      </c>
      <c r="X2" s="5"/>
      <c r="Y2" s="6" t="s">
        <v>51</v>
      </c>
      <c r="AA2" s="5"/>
      <c r="AB2" s="6" t="s">
        <v>52</v>
      </c>
      <c r="AD2" s="5"/>
      <c r="AE2" s="6" t="s">
        <v>53</v>
      </c>
      <c r="AG2" s="5"/>
      <c r="AH2" s="6" t="s">
        <v>54</v>
      </c>
      <c r="AJ2" s="1" t="s">
        <v>55</v>
      </c>
      <c r="AO2" s="5"/>
      <c r="AP2" s="6" t="s">
        <v>18</v>
      </c>
      <c r="AR2" s="5"/>
      <c r="AS2" s="6" t="s">
        <v>14</v>
      </c>
      <c r="AU2" s="73" t="s">
        <v>160</v>
      </c>
      <c r="AV2" s="74"/>
      <c r="AX2" s="73" t="s">
        <v>162</v>
      </c>
      <c r="AY2" s="74"/>
      <c r="BA2" s="73" t="s">
        <v>165</v>
      </c>
      <c r="BB2" s="74"/>
      <c r="BD2" s="73" t="s">
        <v>166</v>
      </c>
      <c r="BE2" s="74"/>
      <c r="BG2" s="73" t="s">
        <v>204</v>
      </c>
      <c r="BH2" s="74"/>
      <c r="BJ2" s="79" t="s">
        <v>208</v>
      </c>
      <c r="BK2" s="79"/>
      <c r="BM2" s="82" t="s">
        <v>211</v>
      </c>
      <c r="BN2" s="81"/>
      <c r="BP2" s="73" t="s">
        <v>215</v>
      </c>
      <c r="BQ2" s="74"/>
      <c r="BS2" s="1" t="s">
        <v>230</v>
      </c>
      <c r="BV2" s="80" t="s">
        <v>232</v>
      </c>
      <c r="BW2" s="81"/>
      <c r="BY2" s="77" t="s">
        <v>249</v>
      </c>
      <c r="BZ2" s="78"/>
      <c r="CB2" s="75" t="s">
        <v>162</v>
      </c>
      <c r="CC2" s="76"/>
      <c r="CE2" s="5"/>
      <c r="CF2" s="54" t="s">
        <v>260</v>
      </c>
      <c r="CG2" s="5" t="s">
        <v>263</v>
      </c>
      <c r="CI2" s="58" t="s">
        <v>289</v>
      </c>
      <c r="CJ2" s="59"/>
      <c r="CL2" s="73" t="s">
        <v>298</v>
      </c>
      <c r="CM2" s="74"/>
      <c r="CO2" s="5"/>
      <c r="CP2" s="6" t="s">
        <v>299</v>
      </c>
      <c r="CS2" s="6" t="s">
        <v>112</v>
      </c>
      <c r="CV2" s="6" t="s">
        <v>18</v>
      </c>
    </row>
    <row r="3" spans="2:101" x14ac:dyDescent="0.25">
      <c r="B3" s="7" t="s">
        <v>56</v>
      </c>
      <c r="C3" s="6" t="s">
        <v>57</v>
      </c>
      <c r="D3" s="8"/>
      <c r="F3" s="7" t="s">
        <v>56</v>
      </c>
      <c r="G3" s="6" t="s">
        <v>57</v>
      </c>
      <c r="I3" s="7" t="s">
        <v>56</v>
      </c>
      <c r="J3" s="6" t="s">
        <v>57</v>
      </c>
      <c r="L3" s="7" t="s">
        <v>56</v>
      </c>
      <c r="M3" s="6" t="s">
        <v>57</v>
      </c>
      <c r="O3" s="7" t="s">
        <v>56</v>
      </c>
      <c r="P3" s="6" t="s">
        <v>57</v>
      </c>
      <c r="R3" s="7" t="s">
        <v>56</v>
      </c>
      <c r="S3" s="6" t="s">
        <v>57</v>
      </c>
      <c r="U3" s="7" t="s">
        <v>56</v>
      </c>
      <c r="V3" s="6" t="s">
        <v>57</v>
      </c>
      <c r="X3" s="7" t="s">
        <v>58</v>
      </c>
      <c r="Y3" s="6" t="s">
        <v>59</v>
      </c>
      <c r="AA3" s="7" t="s">
        <v>56</v>
      </c>
      <c r="AB3" s="6" t="s">
        <v>57</v>
      </c>
      <c r="AD3" s="7" t="s">
        <v>56</v>
      </c>
      <c r="AE3" s="6" t="s">
        <v>57</v>
      </c>
      <c r="AG3" s="7" t="s">
        <v>60</v>
      </c>
      <c r="AH3" s="6" t="s">
        <v>61</v>
      </c>
      <c r="AK3" s="1" t="s">
        <v>62</v>
      </c>
      <c r="AM3" s="1" t="s">
        <v>63</v>
      </c>
      <c r="AO3" s="7" t="s">
        <v>89</v>
      </c>
      <c r="AP3" s="6" t="s">
        <v>90</v>
      </c>
      <c r="AR3" s="7" t="s">
        <v>91</v>
      </c>
      <c r="AS3" s="6" t="s">
        <v>92</v>
      </c>
      <c r="AU3" s="7" t="s">
        <v>161</v>
      </c>
      <c r="AV3" s="6" t="s">
        <v>59</v>
      </c>
      <c r="AX3" s="7" t="s">
        <v>163</v>
      </c>
      <c r="AY3" s="6" t="s">
        <v>164</v>
      </c>
      <c r="BA3" s="7" t="s">
        <v>56</v>
      </c>
      <c r="BB3" s="6" t="s">
        <v>57</v>
      </c>
      <c r="BD3" s="7" t="s">
        <v>161</v>
      </c>
      <c r="BE3" s="6" t="s">
        <v>59</v>
      </c>
      <c r="BG3" s="7" t="s">
        <v>205</v>
      </c>
      <c r="BH3" s="6" t="s">
        <v>206</v>
      </c>
      <c r="BJ3" s="7" t="s">
        <v>56</v>
      </c>
      <c r="BK3" s="6" t="s">
        <v>57</v>
      </c>
      <c r="BM3" s="7" t="s">
        <v>56</v>
      </c>
      <c r="BN3" s="6" t="s">
        <v>57</v>
      </c>
      <c r="BP3" s="7" t="s">
        <v>216</v>
      </c>
      <c r="BQ3" s="6" t="s">
        <v>217</v>
      </c>
      <c r="BS3" s="7" t="s">
        <v>57</v>
      </c>
      <c r="BT3" s="6" t="s">
        <v>231</v>
      </c>
      <c r="BV3" s="7" t="s">
        <v>56</v>
      </c>
      <c r="BW3" s="6" t="s">
        <v>57</v>
      </c>
      <c r="BY3" s="7" t="s">
        <v>56</v>
      </c>
      <c r="BZ3" s="6" t="s">
        <v>57</v>
      </c>
      <c r="CB3" s="7" t="s">
        <v>163</v>
      </c>
      <c r="CC3" s="6" t="s">
        <v>164</v>
      </c>
      <c r="CE3" s="5"/>
      <c r="CF3" s="7" t="s">
        <v>56</v>
      </c>
      <c r="CG3" s="6" t="s">
        <v>57</v>
      </c>
      <c r="CI3" s="60" t="s">
        <v>290</v>
      </c>
      <c r="CJ3" s="58" t="s">
        <v>291</v>
      </c>
      <c r="CL3" s="7" t="s">
        <v>56</v>
      </c>
      <c r="CM3" s="6" t="s">
        <v>57</v>
      </c>
      <c r="CO3" s="7" t="s">
        <v>60</v>
      </c>
      <c r="CP3" s="6" t="s">
        <v>217</v>
      </c>
      <c r="CS3" s="7" t="s">
        <v>60</v>
      </c>
      <c r="CT3" s="6" t="s">
        <v>217</v>
      </c>
      <c r="CV3" s="7" t="s">
        <v>319</v>
      </c>
      <c r="CW3" s="6" t="s">
        <v>217</v>
      </c>
    </row>
    <row r="4" spans="2:101" x14ac:dyDescent="0.25">
      <c r="B4" s="5" t="s">
        <v>64</v>
      </c>
      <c r="C4" s="9">
        <v>300</v>
      </c>
      <c r="D4" s="9">
        <v>220</v>
      </c>
      <c r="F4" s="9">
        <v>360</v>
      </c>
      <c r="G4" s="9">
        <v>350</v>
      </c>
      <c r="I4" s="9">
        <f>3255</f>
        <v>3255</v>
      </c>
      <c r="J4" s="9">
        <f>3238</f>
        <v>3238</v>
      </c>
      <c r="L4" s="9">
        <v>123.5</v>
      </c>
      <c r="M4" s="9">
        <v>105</v>
      </c>
      <c r="O4" s="9">
        <v>80</v>
      </c>
      <c r="P4" s="9">
        <v>79</v>
      </c>
      <c r="R4" s="9">
        <v>125</v>
      </c>
      <c r="S4" s="9">
        <v>124</v>
      </c>
      <c r="U4" s="9">
        <v>20</v>
      </c>
      <c r="V4" s="9">
        <v>7.5</v>
      </c>
      <c r="X4" s="9">
        <v>1335</v>
      </c>
      <c r="Y4" s="9">
        <v>1265</v>
      </c>
      <c r="AA4" s="9">
        <v>1610</v>
      </c>
      <c r="AB4" s="9">
        <v>1585</v>
      </c>
      <c r="AD4" s="9">
        <v>34</v>
      </c>
      <c r="AE4" s="9">
        <v>33.5</v>
      </c>
      <c r="AG4" s="9">
        <v>335</v>
      </c>
      <c r="AH4" s="9">
        <v>325</v>
      </c>
      <c r="AJ4" s="1" t="s">
        <v>64</v>
      </c>
      <c r="AK4" s="9">
        <v>8</v>
      </c>
      <c r="AL4" s="9"/>
      <c r="AM4" s="9">
        <v>6.6</v>
      </c>
      <c r="AO4" s="9">
        <v>185</v>
      </c>
      <c r="AP4" s="9">
        <v>170</v>
      </c>
      <c r="AR4" s="9">
        <v>352.5</v>
      </c>
      <c r="AS4" s="9">
        <v>284</v>
      </c>
      <c r="AU4" s="9">
        <v>1200</v>
      </c>
      <c r="AV4" s="9">
        <v>965</v>
      </c>
      <c r="AX4" s="9">
        <v>105</v>
      </c>
      <c r="AY4" s="9">
        <v>97.5</v>
      </c>
      <c r="BA4" s="9">
        <v>117</v>
      </c>
      <c r="BB4" s="9">
        <v>103</v>
      </c>
      <c r="BD4" s="9">
        <v>265</v>
      </c>
      <c r="BE4" s="9">
        <v>180</v>
      </c>
      <c r="BG4" s="9">
        <v>101</v>
      </c>
      <c r="BH4" s="9">
        <v>85</v>
      </c>
      <c r="BJ4" s="9">
        <v>220</v>
      </c>
      <c r="BK4" s="9">
        <v>205</v>
      </c>
      <c r="BM4" s="9">
        <v>1720</v>
      </c>
      <c r="BN4" s="9">
        <v>1620</v>
      </c>
      <c r="BP4" s="9">
        <v>80</v>
      </c>
      <c r="BQ4" s="9">
        <v>77.5</v>
      </c>
      <c r="BS4" s="9">
        <v>150</v>
      </c>
      <c r="BT4" s="9">
        <v>137</v>
      </c>
      <c r="BV4" s="9">
        <v>40</v>
      </c>
      <c r="BW4" s="9">
        <v>38.5</v>
      </c>
      <c r="BY4" s="9">
        <f>14128/1000</f>
        <v>14.128</v>
      </c>
      <c r="BZ4" s="9">
        <f>13700/1000</f>
        <v>13.7</v>
      </c>
      <c r="CB4" s="9">
        <v>105</v>
      </c>
      <c r="CC4" s="9">
        <v>99</v>
      </c>
      <c r="CE4" s="5" t="s">
        <v>64</v>
      </c>
      <c r="CF4" s="9">
        <v>143</v>
      </c>
      <c r="CG4" s="9">
        <v>135</v>
      </c>
      <c r="CI4" s="14">
        <v>44</v>
      </c>
      <c r="CJ4" s="14">
        <v>38.5</v>
      </c>
      <c r="CL4" s="9">
        <v>108</v>
      </c>
      <c r="CM4" s="9">
        <v>102</v>
      </c>
      <c r="CO4" s="9">
        <v>335</v>
      </c>
      <c r="CP4" s="9">
        <v>305</v>
      </c>
      <c r="CS4" s="9">
        <v>335</v>
      </c>
      <c r="CT4" s="9">
        <v>305</v>
      </c>
      <c r="CV4" s="9">
        <v>170</v>
      </c>
      <c r="CW4" s="9">
        <v>158</v>
      </c>
    </row>
    <row r="5" spans="2:101" x14ac:dyDescent="0.25">
      <c r="B5" s="5" t="s">
        <v>65</v>
      </c>
      <c r="C5" s="9">
        <f>C4*12.5%</f>
        <v>37.5</v>
      </c>
      <c r="D5" s="9">
        <f>D4*12.5%</f>
        <v>27.5</v>
      </c>
      <c r="F5" s="9">
        <f t="shared" ref="F5:G5" si="0">F4*12.5%</f>
        <v>45</v>
      </c>
      <c r="G5" s="9">
        <f t="shared" si="0"/>
        <v>43.75</v>
      </c>
      <c r="I5" s="9">
        <f t="shared" ref="I5:J5" si="1">I4*12.5%</f>
        <v>406.875</v>
      </c>
      <c r="J5" s="9">
        <f t="shared" si="1"/>
        <v>404.75</v>
      </c>
      <c r="L5" s="9">
        <f>L4*16.5%</f>
        <v>20.377500000000001</v>
      </c>
      <c r="M5" s="9">
        <f>M4*16.5%</f>
        <v>17.324999999999999</v>
      </c>
      <c r="O5" s="9">
        <f>O4*0%</f>
        <v>0</v>
      </c>
      <c r="P5" s="9">
        <f>P4*0%</f>
        <v>0</v>
      </c>
      <c r="R5" s="9">
        <f>R4*12.5%</f>
        <v>15.625</v>
      </c>
      <c r="S5" s="9">
        <f>S4*12.5%</f>
        <v>15.5</v>
      </c>
      <c r="U5" s="9">
        <f>U4*0%</f>
        <v>0</v>
      </c>
      <c r="V5" s="9">
        <f>V4*12.5%</f>
        <v>0.9375</v>
      </c>
      <c r="X5" s="9">
        <f>X4*16.5%</f>
        <v>220.27500000000001</v>
      </c>
      <c r="Y5" s="9">
        <f>Y4*16.5%</f>
        <v>208.72500000000002</v>
      </c>
      <c r="AA5" s="9">
        <f t="shared" ref="AA5:AB5" si="2">AA4*12.5%</f>
        <v>201.25</v>
      </c>
      <c r="AB5" s="9">
        <f t="shared" si="2"/>
        <v>198.125</v>
      </c>
      <c r="AD5" s="9">
        <f t="shared" ref="AD5:AE5" si="3">AD4*12.5%</f>
        <v>4.25</v>
      </c>
      <c r="AE5" s="9">
        <f t="shared" si="3"/>
        <v>4.1875</v>
      </c>
      <c r="AG5" s="9">
        <f t="shared" ref="AG5:AH5" si="4">AG4*12.5%</f>
        <v>41.875</v>
      </c>
      <c r="AH5" s="9">
        <f t="shared" si="4"/>
        <v>40.625</v>
      </c>
      <c r="AJ5" s="1" t="s">
        <v>66</v>
      </c>
      <c r="AK5" s="9">
        <v>0</v>
      </c>
      <c r="AL5" s="9"/>
      <c r="AM5" s="9">
        <v>0</v>
      </c>
      <c r="AO5" s="9">
        <f t="shared" ref="AO5:AP5" si="5">AO4*12.5%</f>
        <v>23.125</v>
      </c>
      <c r="AP5" s="9">
        <f t="shared" si="5"/>
        <v>21.25</v>
      </c>
      <c r="AR5" s="9">
        <v>0</v>
      </c>
      <c r="AS5" s="9">
        <v>0</v>
      </c>
      <c r="AU5" s="9">
        <f>AU4*16.5%</f>
        <v>198</v>
      </c>
      <c r="AV5" s="9">
        <f>AV4*16.5%</f>
        <v>159.22499999999999</v>
      </c>
      <c r="AX5" s="9">
        <v>16.34</v>
      </c>
      <c r="AY5" s="9">
        <v>16.34</v>
      </c>
      <c r="BA5" s="9">
        <f>BA4*16.5%</f>
        <v>19.305</v>
      </c>
      <c r="BB5" s="9">
        <f>BB4*16.5%</f>
        <v>16.995000000000001</v>
      </c>
      <c r="BD5" s="9">
        <f>BD4*16.5%</f>
        <v>43.725000000000001</v>
      </c>
      <c r="BE5" s="9">
        <f>BE4*16.5%</f>
        <v>29.700000000000003</v>
      </c>
      <c r="BG5" s="9">
        <f t="shared" ref="BG5:BH5" si="6">BG4*12.5%</f>
        <v>12.625</v>
      </c>
      <c r="BH5" s="9">
        <f t="shared" si="6"/>
        <v>10.625</v>
      </c>
      <c r="BJ5" s="9">
        <v>30.0534</v>
      </c>
      <c r="BK5" s="9">
        <v>30.0534</v>
      </c>
      <c r="BM5" s="9">
        <f>BM4*16.5%</f>
        <v>283.8</v>
      </c>
      <c r="BN5" s="9">
        <f>BN4*16.5%</f>
        <v>267.3</v>
      </c>
      <c r="BP5" s="9">
        <f>BP4*12.5%</f>
        <v>10</v>
      </c>
      <c r="BQ5" s="9">
        <f>BQ4*12.5%</f>
        <v>9.6875</v>
      </c>
      <c r="BS5" s="9">
        <f>BS4*12.5%</f>
        <v>18.75</v>
      </c>
      <c r="BT5" s="9">
        <f>BT4*12.5%</f>
        <v>17.125</v>
      </c>
      <c r="BV5" s="9">
        <v>6.05</v>
      </c>
      <c r="BW5" s="9">
        <v>5.73</v>
      </c>
      <c r="BY5" s="9">
        <f>BY4*2%</f>
        <v>0.28256000000000003</v>
      </c>
      <c r="BZ5" s="9">
        <f>BZ4*2%</f>
        <v>0.27399999999999997</v>
      </c>
      <c r="CB5" s="9">
        <v>14.68</v>
      </c>
      <c r="CC5" s="9">
        <v>14.68</v>
      </c>
      <c r="CE5" s="5" t="s">
        <v>82</v>
      </c>
      <c r="CF5" s="9">
        <f>CF4*12.5%</f>
        <v>17.875</v>
      </c>
      <c r="CG5" s="9">
        <f>CG4*12.5%</f>
        <v>16.875</v>
      </c>
      <c r="CI5" s="9">
        <f>CI4*12.5%</f>
        <v>5.5</v>
      </c>
      <c r="CJ5" s="9">
        <f>CJ4*12.5%</f>
        <v>4.8125</v>
      </c>
      <c r="CL5" s="9">
        <f>CL4*16.5%</f>
        <v>17.82</v>
      </c>
      <c r="CM5" s="9">
        <f>CM4*16.5%</f>
        <v>16.830000000000002</v>
      </c>
      <c r="CO5" s="9">
        <f t="shared" ref="CO5:CP5" si="7">CO4*12.5%</f>
        <v>41.875</v>
      </c>
      <c r="CP5" s="9">
        <f t="shared" si="7"/>
        <v>38.125</v>
      </c>
      <c r="CS5" s="9">
        <f t="shared" ref="CS5:CT5" si="8">CS4*12.5%</f>
        <v>41.875</v>
      </c>
      <c r="CT5" s="9">
        <f t="shared" si="8"/>
        <v>38.125</v>
      </c>
      <c r="CV5" s="9">
        <f t="shared" ref="CV5:CW5" si="9">CV4*12.5%</f>
        <v>21.25</v>
      </c>
      <c r="CW5" s="9">
        <f t="shared" si="9"/>
        <v>19.75</v>
      </c>
    </row>
    <row r="6" spans="2:101" x14ac:dyDescent="0.25">
      <c r="B6" s="5"/>
      <c r="C6" s="9">
        <f>C4+C5</f>
        <v>337.5</v>
      </c>
      <c r="D6" s="9">
        <f>D4+D5</f>
        <v>247.5</v>
      </c>
      <c r="F6" s="9">
        <f t="shared" ref="F6:G6" si="10">F4+F5</f>
        <v>405</v>
      </c>
      <c r="G6" s="9">
        <f t="shared" si="10"/>
        <v>393.75</v>
      </c>
      <c r="I6" s="9">
        <f t="shared" ref="I6:J6" si="11">I4+I5</f>
        <v>3661.875</v>
      </c>
      <c r="J6" s="9">
        <f t="shared" si="11"/>
        <v>3642.75</v>
      </c>
      <c r="L6" s="9">
        <f t="shared" ref="L6:M6" si="12">L4+L5</f>
        <v>143.8775</v>
      </c>
      <c r="M6" s="9">
        <f t="shared" si="12"/>
        <v>122.325</v>
      </c>
      <c r="O6" s="9">
        <f t="shared" ref="O6:P6" si="13">O4+O5</f>
        <v>80</v>
      </c>
      <c r="P6" s="9">
        <f t="shared" si="13"/>
        <v>79</v>
      </c>
      <c r="R6" s="9">
        <f t="shared" ref="R6:S6" si="14">R4+R5</f>
        <v>140.625</v>
      </c>
      <c r="S6" s="9">
        <f t="shared" si="14"/>
        <v>139.5</v>
      </c>
      <c r="U6" s="9">
        <f t="shared" ref="U6:V6" si="15">U4+U5</f>
        <v>20</v>
      </c>
      <c r="V6" s="9">
        <f t="shared" si="15"/>
        <v>8.4375</v>
      </c>
      <c r="X6" s="9">
        <f t="shared" ref="X6:Y6" si="16">X4+X5</f>
        <v>1555.2750000000001</v>
      </c>
      <c r="Y6" s="9">
        <f t="shared" si="16"/>
        <v>1473.7249999999999</v>
      </c>
      <c r="AA6" s="9">
        <f t="shared" ref="AA6:AB6" si="17">AA4+AA5</f>
        <v>1811.25</v>
      </c>
      <c r="AB6" s="9">
        <f t="shared" si="17"/>
        <v>1783.125</v>
      </c>
      <c r="AD6" s="9">
        <f t="shared" ref="AD6:AE6" si="18">AD4+AD5</f>
        <v>38.25</v>
      </c>
      <c r="AE6" s="9">
        <f t="shared" si="18"/>
        <v>37.6875</v>
      </c>
      <c r="AG6" s="9">
        <f t="shared" ref="AG6:AH6" si="19">AG4+AG5</f>
        <v>376.875</v>
      </c>
      <c r="AH6" s="9">
        <f t="shared" si="19"/>
        <v>365.625</v>
      </c>
      <c r="AJ6" s="1" t="s">
        <v>67</v>
      </c>
      <c r="AK6" s="9">
        <f>AK4*4%</f>
        <v>0.32</v>
      </c>
      <c r="AL6" s="9" t="s">
        <v>68</v>
      </c>
      <c r="AM6" s="9">
        <f>AM4*2%</f>
        <v>0.13200000000000001</v>
      </c>
      <c r="AO6" s="9">
        <f t="shared" ref="AO6:AP6" si="20">AO4+AO5</f>
        <v>208.125</v>
      </c>
      <c r="AP6" s="9">
        <f t="shared" si="20"/>
        <v>191.25</v>
      </c>
      <c r="AR6" s="9">
        <f t="shared" ref="AR6:AS6" si="21">AR4+AR5</f>
        <v>352.5</v>
      </c>
      <c r="AS6" s="9">
        <f t="shared" si="21"/>
        <v>284</v>
      </c>
      <c r="AU6" s="9">
        <f t="shared" ref="AU6:AV6" si="22">AU4+AU5</f>
        <v>1398</v>
      </c>
      <c r="AV6" s="9">
        <f t="shared" si="22"/>
        <v>1124.2249999999999</v>
      </c>
      <c r="AX6" s="9">
        <f t="shared" ref="AX6:AY6" si="23">AX4+AX5</f>
        <v>121.34</v>
      </c>
      <c r="AY6" s="9">
        <f t="shared" si="23"/>
        <v>113.84</v>
      </c>
      <c r="BA6" s="9">
        <f t="shared" ref="BA6:BB6" si="24">BA4+BA5</f>
        <v>136.30500000000001</v>
      </c>
      <c r="BB6" s="9">
        <f t="shared" si="24"/>
        <v>119.995</v>
      </c>
      <c r="BD6" s="9">
        <f t="shared" ref="BD6:BE6" si="25">BD4+BD5</f>
        <v>308.72500000000002</v>
      </c>
      <c r="BE6" s="9">
        <f t="shared" si="25"/>
        <v>209.7</v>
      </c>
      <c r="BG6" s="9">
        <f t="shared" ref="BG6:BH6" si="26">BG4+BG5</f>
        <v>113.625</v>
      </c>
      <c r="BH6" s="9">
        <f t="shared" si="26"/>
        <v>95.625</v>
      </c>
      <c r="BJ6" s="9">
        <f>BJ4+BJ5</f>
        <v>250.05340000000001</v>
      </c>
      <c r="BK6" s="9">
        <f>BK4+BK5</f>
        <v>235.05340000000001</v>
      </c>
      <c r="BM6" s="9">
        <f t="shared" ref="BM6:BN6" si="27">BM4+BM5</f>
        <v>2003.8</v>
      </c>
      <c r="BN6" s="9">
        <f t="shared" si="27"/>
        <v>1887.3</v>
      </c>
      <c r="BP6" s="9">
        <f t="shared" ref="BP6:BQ6" si="28">BP4+BP5</f>
        <v>90</v>
      </c>
      <c r="BQ6" s="9">
        <f t="shared" si="28"/>
        <v>87.1875</v>
      </c>
      <c r="BS6" s="9">
        <f t="shared" ref="BS6:BT6" si="29">BS4+BS5</f>
        <v>168.75</v>
      </c>
      <c r="BT6" s="9">
        <f t="shared" si="29"/>
        <v>154.125</v>
      </c>
      <c r="BV6" s="9">
        <f t="shared" ref="BV6:BW6" si="30">BV4+BV5</f>
        <v>46.05</v>
      </c>
      <c r="BW6" s="9">
        <f t="shared" si="30"/>
        <v>44.230000000000004</v>
      </c>
      <c r="BY6" s="9">
        <f>BY4+BY5</f>
        <v>14.41056</v>
      </c>
      <c r="BZ6" s="9">
        <f>BZ4+BZ5</f>
        <v>13.973999999999998</v>
      </c>
      <c r="CB6" s="9">
        <f t="shared" ref="CB6:CC6" si="31">CB4+CB5</f>
        <v>119.68</v>
      </c>
      <c r="CC6" s="9">
        <f t="shared" si="31"/>
        <v>113.68</v>
      </c>
      <c r="CE6" s="5"/>
      <c r="CF6" s="9">
        <f>CF4+CF5</f>
        <v>160.875</v>
      </c>
      <c r="CG6" s="9">
        <f>CG4+CG5</f>
        <v>151.875</v>
      </c>
      <c r="CI6" s="9">
        <f>CI4+CI5</f>
        <v>49.5</v>
      </c>
      <c r="CJ6" s="9">
        <f>CJ4+CJ5</f>
        <v>43.3125</v>
      </c>
      <c r="CL6" s="9">
        <f t="shared" ref="CL6:CM6" si="32">CL4+CL5</f>
        <v>125.82</v>
      </c>
      <c r="CM6" s="9">
        <f t="shared" si="32"/>
        <v>118.83</v>
      </c>
      <c r="CO6" s="9">
        <f t="shared" ref="CO6:CP6" si="33">CO4+CO5</f>
        <v>376.875</v>
      </c>
      <c r="CP6" s="9">
        <f t="shared" si="33"/>
        <v>343.125</v>
      </c>
      <c r="CS6" s="9">
        <f t="shared" ref="CS6:CT6" si="34">CS4+CS5</f>
        <v>376.875</v>
      </c>
      <c r="CT6" s="9">
        <f t="shared" si="34"/>
        <v>343.125</v>
      </c>
      <c r="CV6" s="9">
        <f t="shared" ref="CV6:CW6" si="35">CV4+CV5</f>
        <v>191.25</v>
      </c>
      <c r="CW6" s="9">
        <f t="shared" si="35"/>
        <v>177.75</v>
      </c>
    </row>
    <row r="7" spans="2:101" x14ac:dyDescent="0.25">
      <c r="B7" s="5" t="s">
        <v>69</v>
      </c>
      <c r="C7" s="9">
        <f>C6*2%</f>
        <v>6.75</v>
      </c>
      <c r="D7" s="9">
        <f>D6*2%</f>
        <v>4.95</v>
      </c>
      <c r="F7" s="9">
        <f t="shared" ref="F7:G7" si="36">F6*2%</f>
        <v>8.1</v>
      </c>
      <c r="G7" s="9">
        <f t="shared" si="36"/>
        <v>7.875</v>
      </c>
      <c r="I7" s="9">
        <f t="shared" ref="I7:J7" si="37">I6*2%</f>
        <v>73.237499999999997</v>
      </c>
      <c r="J7" s="9">
        <f t="shared" si="37"/>
        <v>72.855000000000004</v>
      </c>
      <c r="L7" s="9">
        <f t="shared" ref="L7:M7" si="38">L6*2%</f>
        <v>2.8775499999999998</v>
      </c>
      <c r="M7" s="9">
        <f t="shared" si="38"/>
        <v>2.4464999999999999</v>
      </c>
      <c r="O7" s="9">
        <f t="shared" ref="O7:P7" si="39">O6*2%</f>
        <v>1.6</v>
      </c>
      <c r="P7" s="9">
        <f t="shared" si="39"/>
        <v>1.58</v>
      </c>
      <c r="R7" s="9">
        <f t="shared" ref="R7:S7" si="40">R6*2%</f>
        <v>2.8125</v>
      </c>
      <c r="S7" s="9">
        <f t="shared" si="40"/>
        <v>2.79</v>
      </c>
      <c r="U7" s="9">
        <f>U6*2%</f>
        <v>0.4</v>
      </c>
      <c r="V7" s="9">
        <f t="shared" ref="V7" si="41">V6*2%</f>
        <v>0.16875000000000001</v>
      </c>
      <c r="X7" s="9">
        <f t="shared" ref="X7:Y7" si="42">X6*2%</f>
        <v>31.105500000000003</v>
      </c>
      <c r="Y7" s="9">
        <f t="shared" si="42"/>
        <v>29.474499999999999</v>
      </c>
      <c r="AA7" s="9">
        <f t="shared" ref="AA7:AB7" si="43">AA6*2%</f>
        <v>36.225000000000001</v>
      </c>
      <c r="AB7" s="9">
        <f t="shared" si="43"/>
        <v>35.662500000000001</v>
      </c>
      <c r="AD7" s="9">
        <f t="shared" ref="AD7:AE7" si="44">AD6*2%</f>
        <v>0.76500000000000001</v>
      </c>
      <c r="AE7" s="9">
        <f t="shared" si="44"/>
        <v>0.75375000000000003</v>
      </c>
      <c r="AG7" s="9">
        <f t="shared" ref="AG7:AH7" si="45">AG6*2%</f>
        <v>7.5375000000000005</v>
      </c>
      <c r="AH7" s="9">
        <f t="shared" si="45"/>
        <v>7.3125</v>
      </c>
      <c r="AJ7" s="1" t="s">
        <v>70</v>
      </c>
      <c r="AK7" s="9">
        <v>1.1000000000000001</v>
      </c>
      <c r="AL7" s="9"/>
      <c r="AM7" s="9">
        <v>1.268</v>
      </c>
      <c r="AO7" s="9">
        <f t="shared" ref="AO7:AP7" si="46">AO6*2%</f>
        <v>4.1624999999999996</v>
      </c>
      <c r="AP7" s="9">
        <f t="shared" si="46"/>
        <v>3.8250000000000002</v>
      </c>
      <c r="AR7" s="9">
        <f t="shared" ref="AR7:AS7" si="47">AR6*2%</f>
        <v>7.05</v>
      </c>
      <c r="AS7" s="9">
        <f t="shared" si="47"/>
        <v>5.68</v>
      </c>
      <c r="AU7" s="9">
        <f t="shared" ref="AU7:AV7" si="48">AU6*2%</f>
        <v>27.96</v>
      </c>
      <c r="AV7" s="9">
        <f t="shared" si="48"/>
        <v>22.484499999999997</v>
      </c>
      <c r="AX7" s="9">
        <f t="shared" ref="AX7:AY7" si="49">AX6*2%</f>
        <v>2.4268000000000001</v>
      </c>
      <c r="AY7" s="9">
        <f t="shared" si="49"/>
        <v>2.2768000000000002</v>
      </c>
      <c r="BA7" s="9">
        <f t="shared" ref="BA7:BB7" si="50">BA6*2%</f>
        <v>2.7261000000000002</v>
      </c>
      <c r="BB7" s="9">
        <f t="shared" si="50"/>
        <v>2.3999000000000001</v>
      </c>
      <c r="BD7" s="9">
        <f t="shared" ref="BD7:BE7" si="51">BD6*2%</f>
        <v>6.174500000000001</v>
      </c>
      <c r="BE7" s="9">
        <f t="shared" si="51"/>
        <v>4.194</v>
      </c>
      <c r="BG7" s="9">
        <f t="shared" ref="BG7:BH7" si="52">BG6*2%</f>
        <v>2.2725</v>
      </c>
      <c r="BH7" s="9">
        <f t="shared" si="52"/>
        <v>1.9125000000000001</v>
      </c>
      <c r="BJ7" s="9">
        <f>BJ6*2%</f>
        <v>5.0010680000000001</v>
      </c>
      <c r="BK7" s="9">
        <f>BK6*2%</f>
        <v>4.7010680000000002</v>
      </c>
      <c r="BM7" s="9">
        <f t="shared" ref="BM7:BN7" si="53">BM6*2%</f>
        <v>40.076000000000001</v>
      </c>
      <c r="BN7" s="9">
        <f t="shared" si="53"/>
        <v>37.746000000000002</v>
      </c>
      <c r="BP7" s="9">
        <f t="shared" ref="BP7:BQ7" si="54">BP6*2%</f>
        <v>1.8</v>
      </c>
      <c r="BQ7" s="9">
        <f t="shared" si="54"/>
        <v>1.7437500000000001</v>
      </c>
      <c r="BS7" s="9">
        <f t="shared" ref="BS7:BT7" si="55">BS6*2%</f>
        <v>3.375</v>
      </c>
      <c r="BT7" s="9">
        <f t="shared" si="55"/>
        <v>3.0825</v>
      </c>
      <c r="BV7" s="9">
        <f t="shared" ref="BV7:BW7" si="56">BV6*2%</f>
        <v>0.92099999999999993</v>
      </c>
      <c r="BW7" s="9">
        <f t="shared" si="56"/>
        <v>0.88460000000000005</v>
      </c>
      <c r="BY7" s="9">
        <f>(3605.25+1050)/1000</f>
        <v>4.6552499999999997</v>
      </c>
      <c r="BZ7" s="9">
        <f>(3605.25+1050)/1000</f>
        <v>4.6552499999999997</v>
      </c>
      <c r="CB7" s="9">
        <f t="shared" ref="CB7:CC7" si="57">CB6*2%</f>
        <v>2.3936000000000002</v>
      </c>
      <c r="CC7" s="9">
        <f t="shared" si="57"/>
        <v>2.2736000000000001</v>
      </c>
      <c r="CE7" s="5" t="s">
        <v>261</v>
      </c>
      <c r="CF7" s="9">
        <f>CF6*6%</f>
        <v>9.6524999999999999</v>
      </c>
      <c r="CG7" s="9">
        <f>CG6*6%</f>
        <v>9.1124999999999989</v>
      </c>
      <c r="CI7" s="9">
        <f>CI6*2%</f>
        <v>0.99</v>
      </c>
      <c r="CJ7" s="9">
        <f>CJ6*2%</f>
        <v>0.86624999999999996</v>
      </c>
      <c r="CL7" s="9">
        <f t="shared" ref="CL7:CM7" si="58">CL6*2%</f>
        <v>2.5164</v>
      </c>
      <c r="CM7" s="9">
        <f t="shared" si="58"/>
        <v>2.3765999999999998</v>
      </c>
      <c r="CO7" s="9">
        <f t="shared" ref="CO7:CP7" si="59">CO6*2%</f>
        <v>7.5375000000000005</v>
      </c>
      <c r="CP7" s="9">
        <f t="shared" si="59"/>
        <v>6.8624999999999998</v>
      </c>
      <c r="CS7" s="9">
        <f t="shared" ref="CS7:CT7" si="60">CS6*2%</f>
        <v>7.5375000000000005</v>
      </c>
      <c r="CT7" s="9">
        <f t="shared" si="60"/>
        <v>6.8624999999999998</v>
      </c>
      <c r="CV7" s="9">
        <f t="shared" ref="CV7:CW7" si="61">CV6*2%</f>
        <v>3.8250000000000002</v>
      </c>
      <c r="CW7" s="9">
        <f t="shared" si="61"/>
        <v>3.5550000000000002</v>
      </c>
    </row>
    <row r="8" spans="2:101" x14ac:dyDescent="0.25">
      <c r="B8" s="5"/>
      <c r="C8" s="9">
        <f>C6+C7</f>
        <v>344.25</v>
      </c>
      <c r="D8" s="9">
        <f>D6+D7</f>
        <v>252.45</v>
      </c>
      <c r="F8" s="9">
        <f t="shared" ref="F8:G8" si="62">F6+F7</f>
        <v>413.1</v>
      </c>
      <c r="G8" s="9">
        <f t="shared" si="62"/>
        <v>401.625</v>
      </c>
      <c r="I8" s="9">
        <f t="shared" ref="I8:J8" si="63">I6+I7</f>
        <v>3735.1125000000002</v>
      </c>
      <c r="J8" s="9">
        <f t="shared" si="63"/>
        <v>3715.605</v>
      </c>
      <c r="L8" s="9">
        <f t="shared" ref="L8:M8" si="64">L6+L7</f>
        <v>146.75505000000001</v>
      </c>
      <c r="M8" s="9">
        <f t="shared" si="64"/>
        <v>124.7715</v>
      </c>
      <c r="O8" s="9">
        <f t="shared" ref="O8:P8" si="65">O6+O7</f>
        <v>81.599999999999994</v>
      </c>
      <c r="P8" s="9">
        <f t="shared" si="65"/>
        <v>80.58</v>
      </c>
      <c r="R8" s="9">
        <f t="shared" ref="R8:S8" si="66">R6+R7</f>
        <v>143.4375</v>
      </c>
      <c r="S8" s="9">
        <f t="shared" si="66"/>
        <v>142.29</v>
      </c>
      <c r="U8" s="9">
        <f t="shared" ref="U8:V8" si="67">U6+U7</f>
        <v>20.399999999999999</v>
      </c>
      <c r="V8" s="9">
        <f t="shared" si="67"/>
        <v>8.6062499999999993</v>
      </c>
      <c r="X8" s="9">
        <f t="shared" ref="X8:Y8" si="68">X6+X7</f>
        <v>1586.3805</v>
      </c>
      <c r="Y8" s="9">
        <f t="shared" si="68"/>
        <v>1503.1994999999999</v>
      </c>
      <c r="AA8" s="9">
        <f t="shared" ref="AA8:AB8" si="69">AA6+AA7</f>
        <v>1847.4749999999999</v>
      </c>
      <c r="AB8" s="9">
        <f t="shared" si="69"/>
        <v>1818.7874999999999</v>
      </c>
      <c r="AD8" s="9">
        <f t="shared" ref="AD8:AE8" si="70">AD6+AD7</f>
        <v>39.015000000000001</v>
      </c>
      <c r="AE8" s="9">
        <f t="shared" si="70"/>
        <v>38.441249999999997</v>
      </c>
      <c r="AG8" s="9">
        <f t="shared" ref="AG8:AH8" si="71">AG6+AG7</f>
        <v>384.41250000000002</v>
      </c>
      <c r="AH8" s="9">
        <f t="shared" si="71"/>
        <v>372.9375</v>
      </c>
      <c r="AJ8" s="1" t="s">
        <v>71</v>
      </c>
      <c r="AK8" s="9">
        <f>-AK6</f>
        <v>-0.32</v>
      </c>
      <c r="AL8" s="9"/>
      <c r="AM8" s="9"/>
      <c r="AO8" s="9">
        <f t="shared" ref="AO8:AP8" si="72">AO6+AO7</f>
        <v>212.28749999999999</v>
      </c>
      <c r="AP8" s="9">
        <f t="shared" si="72"/>
        <v>195.07499999999999</v>
      </c>
      <c r="AR8" s="9">
        <f t="shared" ref="AR8:AS8" si="73">AR6+AR7</f>
        <v>359.55</v>
      </c>
      <c r="AS8" s="9">
        <f t="shared" si="73"/>
        <v>289.68</v>
      </c>
      <c r="AU8" s="9">
        <f t="shared" ref="AU8:AV8" si="74">AU6+AU7</f>
        <v>1425.96</v>
      </c>
      <c r="AV8" s="9">
        <f t="shared" si="74"/>
        <v>1146.7094999999999</v>
      </c>
      <c r="AX8" s="9">
        <f t="shared" ref="AX8:AY8" si="75">AX6+AX7</f>
        <v>123.7668</v>
      </c>
      <c r="AY8" s="9">
        <f t="shared" si="75"/>
        <v>116.1168</v>
      </c>
      <c r="BA8" s="9">
        <f t="shared" ref="BA8:BB8" si="76">BA6+BA7</f>
        <v>139.03110000000001</v>
      </c>
      <c r="BB8" s="9">
        <f t="shared" si="76"/>
        <v>122.39490000000001</v>
      </c>
      <c r="BD8" s="9">
        <f t="shared" ref="BD8:BE8" si="77">BD6+BD7</f>
        <v>314.89950000000005</v>
      </c>
      <c r="BE8" s="9">
        <f t="shared" si="77"/>
        <v>213.89399999999998</v>
      </c>
      <c r="BG8" s="9">
        <f t="shared" ref="BG8:BH8" si="78">BG6+BG7</f>
        <v>115.89749999999999</v>
      </c>
      <c r="BH8" s="9">
        <f t="shared" si="78"/>
        <v>97.537499999999994</v>
      </c>
      <c r="BJ8" s="9">
        <f>BJ6+BJ7</f>
        <v>255.05446800000001</v>
      </c>
      <c r="BK8" s="9">
        <f>BK6+BK7</f>
        <v>239.754468</v>
      </c>
      <c r="BM8" s="9">
        <f t="shared" ref="BM8:BN8" si="79">BM6+BM7</f>
        <v>2043.876</v>
      </c>
      <c r="BN8" s="9">
        <f t="shared" si="79"/>
        <v>1925.046</v>
      </c>
      <c r="BP8" s="9">
        <f t="shared" ref="BP8:BQ8" si="80">BP6+BP7</f>
        <v>91.8</v>
      </c>
      <c r="BQ8" s="9">
        <f t="shared" si="80"/>
        <v>88.931250000000006</v>
      </c>
      <c r="BS8" s="9">
        <f t="shared" ref="BS8:BT8" si="81">BS6+BS7</f>
        <v>172.125</v>
      </c>
      <c r="BT8" s="9">
        <f t="shared" si="81"/>
        <v>157.20750000000001</v>
      </c>
      <c r="BV8" s="9">
        <f t="shared" ref="BV8:BW8" si="82">BV6+BV7</f>
        <v>46.970999999999997</v>
      </c>
      <c r="BW8" s="9">
        <f t="shared" si="82"/>
        <v>45.114600000000003</v>
      </c>
      <c r="BY8" s="9">
        <f>BY6+BY7</f>
        <v>19.065809999999999</v>
      </c>
      <c r="BZ8" s="9">
        <f>BZ6+BZ7</f>
        <v>18.629249999999999</v>
      </c>
      <c r="CB8" s="9">
        <f t="shared" ref="CB8:CC8" si="83">CB6+CB7</f>
        <v>122.07360000000001</v>
      </c>
      <c r="CC8" s="9">
        <f t="shared" si="83"/>
        <v>115.95360000000001</v>
      </c>
      <c r="CE8" s="5"/>
      <c r="CF8" s="9">
        <f>CF6+CF7</f>
        <v>170.5275</v>
      </c>
      <c r="CG8" s="9">
        <f>CG6+CG7</f>
        <v>160.98750000000001</v>
      </c>
      <c r="CI8" s="9">
        <f>CI6+CI7</f>
        <v>50.49</v>
      </c>
      <c r="CJ8" s="9">
        <f>CJ6+CJ7</f>
        <v>44.178750000000001</v>
      </c>
      <c r="CL8" s="9">
        <f t="shared" ref="CL8:CM8" si="84">CL6+CL7</f>
        <v>128.3364</v>
      </c>
      <c r="CM8" s="9">
        <f t="shared" si="84"/>
        <v>121.20659999999999</v>
      </c>
      <c r="CO8" s="9">
        <f t="shared" ref="CO8:CP8" si="85">CO6+CO7</f>
        <v>384.41250000000002</v>
      </c>
      <c r="CP8" s="9">
        <f t="shared" si="85"/>
        <v>349.98750000000001</v>
      </c>
      <c r="CS8" s="9">
        <f t="shared" ref="CS8:CT8" si="86">CS6+CS7</f>
        <v>384.41250000000002</v>
      </c>
      <c r="CT8" s="9">
        <f t="shared" si="86"/>
        <v>349.98750000000001</v>
      </c>
      <c r="CV8" s="9">
        <f t="shared" ref="CV8:CW8" si="87">CV6+CV7</f>
        <v>195.07499999999999</v>
      </c>
      <c r="CW8" s="9">
        <f t="shared" si="87"/>
        <v>181.30500000000001</v>
      </c>
    </row>
    <row r="9" spans="2:101" x14ac:dyDescent="0.25">
      <c r="B9" s="5" t="s">
        <v>70</v>
      </c>
      <c r="C9" s="9">
        <v>8</v>
      </c>
      <c r="D9" s="9">
        <v>8</v>
      </c>
      <c r="F9" s="9">
        <v>8</v>
      </c>
      <c r="G9" s="9">
        <v>8</v>
      </c>
      <c r="I9" s="9">
        <v>8</v>
      </c>
      <c r="J9" s="9">
        <v>8</v>
      </c>
      <c r="L9" s="9">
        <v>8</v>
      </c>
      <c r="M9" s="9">
        <v>8</v>
      </c>
      <c r="O9" s="9">
        <v>8</v>
      </c>
      <c r="P9" s="9">
        <v>8</v>
      </c>
      <c r="R9" s="9">
        <v>8</v>
      </c>
      <c r="S9" s="9">
        <v>8</v>
      </c>
      <c r="U9" s="9">
        <v>0</v>
      </c>
      <c r="V9" s="9">
        <v>5.71</v>
      </c>
      <c r="X9" s="9">
        <v>8</v>
      </c>
      <c r="Y9" s="9">
        <v>0</v>
      </c>
      <c r="AA9" s="9">
        <v>8</v>
      </c>
      <c r="AB9" s="9">
        <v>8</v>
      </c>
      <c r="AD9" s="9">
        <v>6</v>
      </c>
      <c r="AE9" s="9">
        <v>2</v>
      </c>
      <c r="AG9" s="9">
        <v>8</v>
      </c>
      <c r="AH9" s="9">
        <v>8</v>
      </c>
      <c r="AJ9" s="1" t="s">
        <v>4</v>
      </c>
      <c r="AK9" s="9">
        <f>SUM(AK4:AK8)</f>
        <v>9.1</v>
      </c>
      <c r="AL9" s="9"/>
      <c r="AM9" s="9">
        <f>SUM(AM4:AM8)</f>
        <v>7.9999999999999991</v>
      </c>
      <c r="AO9" s="9">
        <v>8</v>
      </c>
      <c r="AP9" s="9">
        <v>8</v>
      </c>
      <c r="AR9" s="9">
        <v>8</v>
      </c>
      <c r="AS9" s="9">
        <v>5</v>
      </c>
      <c r="AU9" s="9">
        <v>8</v>
      </c>
      <c r="AV9" s="9">
        <v>0</v>
      </c>
      <c r="AX9" s="9">
        <v>8</v>
      </c>
      <c r="AY9" s="9">
        <v>8</v>
      </c>
      <c r="BA9" s="9">
        <v>8</v>
      </c>
      <c r="BB9" s="9">
        <v>8</v>
      </c>
      <c r="BD9" s="9">
        <v>6</v>
      </c>
      <c r="BE9" s="9">
        <v>13</v>
      </c>
      <c r="BG9" s="9">
        <v>8</v>
      </c>
      <c r="BH9" s="9">
        <v>8</v>
      </c>
      <c r="BJ9" s="9">
        <v>8</v>
      </c>
      <c r="BK9" s="9">
        <v>8</v>
      </c>
      <c r="BM9" s="9">
        <v>8</v>
      </c>
      <c r="BN9" s="9">
        <v>8</v>
      </c>
      <c r="BP9" s="9">
        <v>8</v>
      </c>
      <c r="BQ9" s="9">
        <v>8</v>
      </c>
      <c r="BS9" s="9">
        <v>8</v>
      </c>
      <c r="BT9" s="9">
        <v>8</v>
      </c>
      <c r="BV9" s="9">
        <v>8</v>
      </c>
      <c r="BW9" s="9">
        <v>8</v>
      </c>
      <c r="BY9" s="9"/>
      <c r="BZ9" s="9"/>
      <c r="CB9" s="9">
        <v>8</v>
      </c>
      <c r="CC9" s="9">
        <v>8</v>
      </c>
      <c r="CE9" s="5" t="s">
        <v>70</v>
      </c>
      <c r="CF9" s="9">
        <v>8</v>
      </c>
      <c r="CG9" s="9">
        <v>8</v>
      </c>
      <c r="CI9" s="9">
        <v>6</v>
      </c>
      <c r="CJ9" s="9">
        <v>6</v>
      </c>
      <c r="CL9" s="9">
        <v>8</v>
      </c>
      <c r="CM9" s="9">
        <v>8</v>
      </c>
      <c r="CO9" s="9">
        <v>8</v>
      </c>
      <c r="CP9" s="9">
        <v>8</v>
      </c>
      <c r="CS9" s="9">
        <v>8</v>
      </c>
      <c r="CT9" s="9">
        <v>8</v>
      </c>
      <c r="CV9" s="9">
        <v>8</v>
      </c>
      <c r="CW9" s="9">
        <v>8</v>
      </c>
    </row>
    <row r="10" spans="2:101" x14ac:dyDescent="0.25">
      <c r="B10" s="5"/>
      <c r="C10" s="9">
        <f>C8+C9</f>
        <v>352.25</v>
      </c>
      <c r="D10" s="9">
        <f>D8+D9</f>
        <v>260.45</v>
      </c>
      <c r="F10" s="9">
        <f t="shared" ref="F10:G10" si="88">F8+F9</f>
        <v>421.1</v>
      </c>
      <c r="G10" s="9">
        <f t="shared" si="88"/>
        <v>409.625</v>
      </c>
      <c r="I10" s="9">
        <f t="shared" ref="I10:J10" si="89">I8+I9</f>
        <v>3743.1125000000002</v>
      </c>
      <c r="J10" s="9">
        <f t="shared" si="89"/>
        <v>3723.605</v>
      </c>
      <c r="L10" s="9">
        <f t="shared" ref="L10:M10" si="90">L8+L9</f>
        <v>154.75505000000001</v>
      </c>
      <c r="M10" s="9">
        <f t="shared" si="90"/>
        <v>132.7715</v>
      </c>
      <c r="O10" s="9">
        <f t="shared" ref="O10:P10" si="91">O8+O9</f>
        <v>89.6</v>
      </c>
      <c r="P10" s="9">
        <f t="shared" si="91"/>
        <v>88.58</v>
      </c>
      <c r="R10" s="9">
        <f t="shared" ref="R10:S10" si="92">R8+R9</f>
        <v>151.4375</v>
      </c>
      <c r="S10" s="9">
        <f t="shared" si="92"/>
        <v>150.29</v>
      </c>
      <c r="U10" s="9">
        <f t="shared" ref="U10:V10" si="93">U8+U9</f>
        <v>20.399999999999999</v>
      </c>
      <c r="V10" s="9">
        <f t="shared" si="93"/>
        <v>14.31625</v>
      </c>
      <c r="X10" s="9">
        <f t="shared" ref="X10:Y10" si="94">X8+X9</f>
        <v>1594.3805</v>
      </c>
      <c r="Y10" s="9">
        <f t="shared" si="94"/>
        <v>1503.1994999999999</v>
      </c>
      <c r="AA10" s="9">
        <f t="shared" ref="AA10:AB10" si="95">AA8+AA9</f>
        <v>1855.4749999999999</v>
      </c>
      <c r="AB10" s="9">
        <f t="shared" si="95"/>
        <v>1826.7874999999999</v>
      </c>
      <c r="AD10" s="9">
        <f t="shared" ref="AD10:AE10" si="96">AD8+AD9</f>
        <v>45.015000000000001</v>
      </c>
      <c r="AE10" s="9">
        <f t="shared" si="96"/>
        <v>40.441249999999997</v>
      </c>
      <c r="AG10" s="9">
        <f t="shared" ref="AG10:AH10" si="97">AG8+AG9</f>
        <v>392.41250000000002</v>
      </c>
      <c r="AH10" s="9">
        <f t="shared" si="97"/>
        <v>380.9375</v>
      </c>
      <c r="AK10" s="9"/>
      <c r="AL10" s="9"/>
      <c r="AM10" s="9"/>
      <c r="AO10" s="9">
        <f t="shared" ref="AO10:AP10" si="98">AO8+AO9</f>
        <v>220.28749999999999</v>
      </c>
      <c r="AP10" s="9">
        <f t="shared" si="98"/>
        <v>203.07499999999999</v>
      </c>
      <c r="AR10" s="9">
        <f t="shared" ref="AR10:AS10" si="99">AR8+AR9</f>
        <v>367.55</v>
      </c>
      <c r="AS10" s="9">
        <f t="shared" si="99"/>
        <v>294.68</v>
      </c>
      <c r="AU10" s="9">
        <f t="shared" ref="AU10:AV10" si="100">AU8+AU9</f>
        <v>1433.96</v>
      </c>
      <c r="AV10" s="9">
        <f t="shared" si="100"/>
        <v>1146.7094999999999</v>
      </c>
      <c r="AX10" s="9">
        <f t="shared" ref="AX10:AY10" si="101">AX8+AX9</f>
        <v>131.76679999999999</v>
      </c>
      <c r="AY10" s="9">
        <f t="shared" si="101"/>
        <v>124.1168</v>
      </c>
      <c r="BA10" s="9">
        <f t="shared" ref="BA10:BB10" si="102">BA8+BA9</f>
        <v>147.03110000000001</v>
      </c>
      <c r="BB10" s="9">
        <f t="shared" si="102"/>
        <v>130.39490000000001</v>
      </c>
      <c r="BD10" s="9">
        <f t="shared" ref="BD10:BE10" si="103">BD8+BD9</f>
        <v>320.89950000000005</v>
      </c>
      <c r="BE10" s="9">
        <f t="shared" si="103"/>
        <v>226.89399999999998</v>
      </c>
      <c r="BG10" s="9">
        <f t="shared" ref="BG10:BH10" si="104">BG8+BG9</f>
        <v>123.89749999999999</v>
      </c>
      <c r="BH10" s="9">
        <f t="shared" si="104"/>
        <v>105.53749999999999</v>
      </c>
      <c r="BJ10" s="9">
        <f>BJ8+BJ9</f>
        <v>263.05446800000004</v>
      </c>
      <c r="BK10" s="9">
        <f>BK8+BK9</f>
        <v>247.754468</v>
      </c>
      <c r="BM10" s="9">
        <f t="shared" ref="BM10:BN10" si="105">BM8+BM9</f>
        <v>2051.8760000000002</v>
      </c>
      <c r="BN10" s="9">
        <f t="shared" si="105"/>
        <v>1933.046</v>
      </c>
      <c r="BP10" s="9">
        <f t="shared" ref="BP10:BQ10" si="106">BP8+BP9</f>
        <v>99.8</v>
      </c>
      <c r="BQ10" s="9">
        <f t="shared" si="106"/>
        <v>96.931250000000006</v>
      </c>
      <c r="BS10" s="9">
        <f t="shared" ref="BS10:BT10" si="107">BS8+BS9</f>
        <v>180.125</v>
      </c>
      <c r="BT10" s="9">
        <f t="shared" si="107"/>
        <v>165.20750000000001</v>
      </c>
      <c r="BV10" s="9">
        <f t="shared" ref="BV10:BW10" si="108">BV8+BV9</f>
        <v>54.970999999999997</v>
      </c>
      <c r="BW10" s="9">
        <f t="shared" si="108"/>
        <v>53.114600000000003</v>
      </c>
      <c r="BY10" s="9">
        <f t="shared" ref="BY10:BZ10" si="109">BY8+BY9</f>
        <v>19.065809999999999</v>
      </c>
      <c r="BZ10" s="9">
        <f t="shared" si="109"/>
        <v>18.629249999999999</v>
      </c>
      <c r="CB10" s="9">
        <f t="shared" ref="CB10:CC10" si="110">CB8+CB9</f>
        <v>130.0736</v>
      </c>
      <c r="CC10" s="9">
        <f t="shared" si="110"/>
        <v>123.95360000000001</v>
      </c>
      <c r="CE10" s="5"/>
      <c r="CF10" s="9">
        <f>CF8+CF9</f>
        <v>178.5275</v>
      </c>
      <c r="CG10" s="9">
        <f>CG8+CG9</f>
        <v>168.98750000000001</v>
      </c>
      <c r="CI10" s="9">
        <f>CI8+CI9</f>
        <v>56.49</v>
      </c>
      <c r="CJ10" s="9">
        <f>CJ8+CJ9</f>
        <v>50.178750000000001</v>
      </c>
      <c r="CL10" s="9">
        <f t="shared" ref="CL10:CM10" si="111">CL8+CL9</f>
        <v>136.3364</v>
      </c>
      <c r="CM10" s="9">
        <f t="shared" si="111"/>
        <v>129.20659999999998</v>
      </c>
      <c r="CO10" s="9">
        <f t="shared" ref="CO10:CP10" si="112">CO8+CO9</f>
        <v>392.41250000000002</v>
      </c>
      <c r="CP10" s="9">
        <f t="shared" si="112"/>
        <v>357.98750000000001</v>
      </c>
      <c r="CS10" s="9">
        <f t="shared" ref="CS10:CT10" si="113">CS8+CS9</f>
        <v>392.41250000000002</v>
      </c>
      <c r="CT10" s="9">
        <f t="shared" si="113"/>
        <v>357.98750000000001</v>
      </c>
      <c r="CV10" s="9">
        <f t="shared" ref="CV10:CW10" si="114">CV8+CV9</f>
        <v>203.07499999999999</v>
      </c>
      <c r="CW10" s="9">
        <f t="shared" si="114"/>
        <v>189.30500000000001</v>
      </c>
    </row>
    <row r="11" spans="2:101" x14ac:dyDescent="0.25">
      <c r="B11" s="5"/>
      <c r="C11" s="9"/>
      <c r="D11" s="9"/>
      <c r="F11" s="9"/>
      <c r="G11" s="9"/>
      <c r="I11" s="9"/>
      <c r="J11" s="9"/>
      <c r="L11" s="9"/>
      <c r="M11" s="9"/>
      <c r="O11" s="9"/>
      <c r="P11" s="9"/>
      <c r="R11" s="9"/>
      <c r="S11" s="9"/>
      <c r="U11" s="9"/>
      <c r="V11" s="9"/>
      <c r="X11" s="9"/>
      <c r="Y11" s="9"/>
      <c r="AA11" s="9"/>
      <c r="AB11" s="9"/>
      <c r="AD11" s="9"/>
      <c r="AE11" s="9"/>
      <c r="AG11" s="9"/>
      <c r="AH11" s="9"/>
      <c r="AO11" s="9"/>
      <c r="AP11" s="9"/>
      <c r="AR11" s="9"/>
      <c r="AS11" s="9"/>
      <c r="AU11" s="9"/>
      <c r="AV11" s="9"/>
      <c r="AX11" s="9"/>
      <c r="AY11" s="9"/>
      <c r="BA11" s="9"/>
      <c r="BB11" s="9"/>
      <c r="BD11" s="9">
        <f>BD5</f>
        <v>43.725000000000001</v>
      </c>
      <c r="BE11" s="9">
        <f>BE5</f>
        <v>29.700000000000003</v>
      </c>
      <c r="BG11" s="9"/>
      <c r="BH11" s="9"/>
      <c r="BJ11" s="9"/>
      <c r="BK11" s="9"/>
      <c r="BM11" s="9"/>
      <c r="BN11" s="9"/>
      <c r="BP11" s="9"/>
      <c r="BQ11" s="9"/>
      <c r="BS11" s="9"/>
      <c r="BT11" s="9"/>
      <c r="BV11" s="9"/>
      <c r="BW11" s="9"/>
      <c r="BY11" s="9"/>
      <c r="BZ11" s="9"/>
      <c r="CB11" s="9"/>
      <c r="CC11" s="9"/>
      <c r="CE11" s="5"/>
      <c r="CF11" s="9"/>
      <c r="CG11" s="9"/>
      <c r="CI11" s="9"/>
      <c r="CJ11" s="9"/>
      <c r="CL11" s="9"/>
      <c r="CM11" s="9"/>
      <c r="CO11" s="9"/>
      <c r="CP11" s="9"/>
      <c r="CS11" s="9"/>
      <c r="CT11" s="9"/>
      <c r="CV11" s="9"/>
      <c r="CW11" s="9"/>
    </row>
    <row r="12" spans="2:101" x14ac:dyDescent="0.25">
      <c r="B12" s="5" t="s">
        <v>72</v>
      </c>
      <c r="C12" s="9"/>
      <c r="D12" s="9">
        <f>C10-D10</f>
        <v>91.800000000000011</v>
      </c>
      <c r="F12" s="9"/>
      <c r="G12" s="9">
        <f>F10-G10</f>
        <v>11.475000000000023</v>
      </c>
      <c r="I12" s="9"/>
      <c r="J12" s="9">
        <f>I10-J10</f>
        <v>19.507500000000164</v>
      </c>
      <c r="L12" s="9"/>
      <c r="M12" s="9">
        <f>L10-M10</f>
        <v>21.983550000000008</v>
      </c>
      <c r="O12" s="9"/>
      <c r="P12" s="9">
        <f>O10-P10</f>
        <v>1.019999999999996</v>
      </c>
      <c r="R12" s="9"/>
      <c r="S12" s="9">
        <f>R10-S10</f>
        <v>1.147500000000008</v>
      </c>
      <c r="U12" s="9"/>
      <c r="V12" s="9">
        <f>U10-V10</f>
        <v>6.0837499999999984</v>
      </c>
      <c r="X12" s="9"/>
      <c r="Y12" s="9">
        <f>X10-Y10</f>
        <v>91.18100000000004</v>
      </c>
      <c r="AA12" s="9"/>
      <c r="AB12" s="9">
        <f>AA10-AB10</f>
        <v>28.6875</v>
      </c>
      <c r="AD12" s="9"/>
      <c r="AE12" s="9">
        <f>AD10-AE10</f>
        <v>4.573750000000004</v>
      </c>
      <c r="AG12" s="9"/>
      <c r="AH12" s="9">
        <f>AG10-AH10</f>
        <v>11.475000000000023</v>
      </c>
      <c r="AK12" s="1" t="s">
        <v>15</v>
      </c>
      <c r="AM12" s="2">
        <f>AK9-AM9</f>
        <v>1.1000000000000005</v>
      </c>
      <c r="AO12" s="9"/>
      <c r="AP12" s="9">
        <f>AO10-AP10</f>
        <v>17.212500000000006</v>
      </c>
      <c r="AR12" s="9"/>
      <c r="AS12" s="9">
        <f>AR10-AS10</f>
        <v>72.87</v>
      </c>
      <c r="AU12" s="9"/>
      <c r="AV12" s="9">
        <f>AU10-AV10</f>
        <v>287.2505000000001</v>
      </c>
      <c r="AX12" s="9"/>
      <c r="AY12" s="9">
        <f>AX10-AY10</f>
        <v>7.6499999999999915</v>
      </c>
      <c r="BA12" s="9"/>
      <c r="BB12" s="9">
        <f>BA10-BB10</f>
        <v>16.636200000000002</v>
      </c>
      <c r="BD12" s="9">
        <f>BD10-BD11</f>
        <v>277.17450000000002</v>
      </c>
      <c r="BE12" s="9">
        <f>BE10-BE11</f>
        <v>197.19399999999996</v>
      </c>
      <c r="BG12" s="9"/>
      <c r="BH12" s="9">
        <f>BG10-BH10</f>
        <v>18.36</v>
      </c>
      <c r="BJ12" s="9"/>
      <c r="BK12" s="9">
        <f>BJ10-BK10</f>
        <v>15.30000000000004</v>
      </c>
      <c r="BM12" s="9"/>
      <c r="BN12" s="9">
        <f>BM10-BN10</f>
        <v>118.83000000000015</v>
      </c>
      <c r="BP12" s="9"/>
      <c r="BQ12" s="9">
        <f>BP10-BQ10</f>
        <v>2.8687499999999915</v>
      </c>
      <c r="BS12" s="9"/>
      <c r="BT12" s="9">
        <f>BS10-BT10</f>
        <v>14.91749999999999</v>
      </c>
      <c r="BV12" s="9"/>
      <c r="BW12" s="9">
        <f>BV10-BW10</f>
        <v>1.8563999999999936</v>
      </c>
      <c r="BY12" s="9"/>
      <c r="BZ12" s="9">
        <f>BY10-BZ10</f>
        <v>0.43656000000000006</v>
      </c>
      <c r="CB12" s="9"/>
      <c r="CC12" s="9">
        <f>CB10-CC10</f>
        <v>6.1199999999999903</v>
      </c>
      <c r="CE12" s="5"/>
      <c r="CF12" s="9"/>
      <c r="CG12" s="9">
        <f>CF10-CG10</f>
        <v>9.539999999999992</v>
      </c>
      <c r="CI12" s="9"/>
      <c r="CJ12" s="9">
        <f>CI10-CJ10</f>
        <v>6.3112500000000011</v>
      </c>
      <c r="CL12" s="9"/>
      <c r="CM12" s="9">
        <f>CL10-CM10</f>
        <v>7.1298000000000172</v>
      </c>
      <c r="CO12" s="9"/>
      <c r="CP12" s="9">
        <f>CO10-CP10</f>
        <v>34.425000000000011</v>
      </c>
      <c r="CQ12" s="1" t="s">
        <v>303</v>
      </c>
      <c r="CS12" s="9"/>
      <c r="CT12" s="9">
        <f>CS10-CT10</f>
        <v>34.425000000000011</v>
      </c>
      <c r="CV12" s="9"/>
      <c r="CW12" s="9">
        <f>CV10-CW10</f>
        <v>13.769999999999982</v>
      </c>
    </row>
    <row r="13" spans="2:101" x14ac:dyDescent="0.25">
      <c r="BD13" s="24"/>
      <c r="BE13" s="25">
        <f>BD12-BE12</f>
        <v>79.980500000000063</v>
      </c>
    </row>
    <row r="14" spans="2:101" x14ac:dyDescent="0.25">
      <c r="K14" s="10"/>
    </row>
    <row r="15" spans="2:101" x14ac:dyDescent="0.25">
      <c r="B15" s="4" t="s">
        <v>73</v>
      </c>
    </row>
    <row r="16" spans="2:101" x14ac:dyDescent="0.25">
      <c r="N16" s="10"/>
    </row>
    <row r="17" spans="2:29" x14ac:dyDescent="0.25">
      <c r="B17" s="5"/>
      <c r="C17" s="6" t="s">
        <v>74</v>
      </c>
      <c r="D17" s="5"/>
      <c r="F17" s="5"/>
      <c r="G17" s="6" t="s">
        <v>75</v>
      </c>
      <c r="H17" s="5"/>
      <c r="J17" s="5"/>
      <c r="K17" s="6" t="s">
        <v>76</v>
      </c>
      <c r="L17" s="5"/>
      <c r="N17" s="5"/>
      <c r="O17" s="6" t="s">
        <v>77</v>
      </c>
      <c r="P17" s="5"/>
      <c r="R17" s="5"/>
      <c r="S17" s="6" t="s">
        <v>78</v>
      </c>
      <c r="T17" s="5"/>
      <c r="V17" s="5" t="s">
        <v>142</v>
      </c>
      <c r="W17" s="6"/>
      <c r="X17" s="5"/>
      <c r="AA17" s="5"/>
      <c r="AB17" s="54" t="s">
        <v>260</v>
      </c>
      <c r="AC17" s="5" t="s">
        <v>263</v>
      </c>
    </row>
    <row r="18" spans="2:29" x14ac:dyDescent="0.25">
      <c r="B18" s="5"/>
      <c r="C18" s="7" t="s">
        <v>56</v>
      </c>
      <c r="D18" s="6" t="s">
        <v>57</v>
      </c>
      <c r="F18" s="5"/>
      <c r="G18" s="7" t="s">
        <v>56</v>
      </c>
      <c r="H18" s="6" t="s">
        <v>57</v>
      </c>
      <c r="J18" s="5"/>
      <c r="K18" s="7" t="s">
        <v>79</v>
      </c>
      <c r="L18" s="6" t="s">
        <v>80</v>
      </c>
      <c r="N18" s="5"/>
      <c r="O18" s="7" t="s">
        <v>56</v>
      </c>
      <c r="P18" s="6" t="s">
        <v>81</v>
      </c>
      <c r="R18" s="5"/>
      <c r="S18" s="7" t="s">
        <v>56</v>
      </c>
      <c r="T18" s="6" t="s">
        <v>57</v>
      </c>
      <c r="V18" s="5"/>
      <c r="W18" s="7" t="s">
        <v>56</v>
      </c>
      <c r="X18" s="6" t="s">
        <v>57</v>
      </c>
      <c r="AA18" s="5"/>
      <c r="AB18" s="7" t="s">
        <v>56</v>
      </c>
      <c r="AC18" s="6" t="s">
        <v>57</v>
      </c>
    </row>
    <row r="19" spans="2:29" x14ac:dyDescent="0.25">
      <c r="B19" s="5" t="s">
        <v>64</v>
      </c>
      <c r="C19" s="9">
        <v>275</v>
      </c>
      <c r="D19" s="9">
        <v>270</v>
      </c>
      <c r="E19" s="2"/>
      <c r="F19" s="9" t="s">
        <v>64</v>
      </c>
      <c r="G19" s="9">
        <v>159.5</v>
      </c>
      <c r="H19" s="9">
        <v>117</v>
      </c>
      <c r="J19" s="9" t="s">
        <v>64</v>
      </c>
      <c r="K19" s="9">
        <v>159.5</v>
      </c>
      <c r="L19" s="9">
        <v>130</v>
      </c>
      <c r="N19" s="9" t="s">
        <v>64</v>
      </c>
      <c r="O19" s="9">
        <v>1625</v>
      </c>
      <c r="P19" s="9">
        <v>1600</v>
      </c>
      <c r="Q19" s="2"/>
      <c r="R19" s="9" t="s">
        <v>64</v>
      </c>
      <c r="S19" s="9">
        <v>495</v>
      </c>
      <c r="T19" s="9">
        <v>395</v>
      </c>
      <c r="V19" s="9" t="s">
        <v>64</v>
      </c>
      <c r="W19" s="9">
        <v>25.5</v>
      </c>
      <c r="X19" s="9">
        <v>13.75</v>
      </c>
      <c r="AA19" s="5" t="s">
        <v>64</v>
      </c>
      <c r="AB19" s="9">
        <v>143</v>
      </c>
      <c r="AC19" s="9">
        <v>138</v>
      </c>
    </row>
    <row r="20" spans="2:29" x14ac:dyDescent="0.25">
      <c r="B20" s="5" t="s">
        <v>82</v>
      </c>
      <c r="C20" s="9">
        <f>C19*16.5%</f>
        <v>45.375</v>
      </c>
      <c r="D20" s="9">
        <f>D19*16.5%</f>
        <v>44.550000000000004</v>
      </c>
      <c r="E20" s="2"/>
      <c r="F20" s="9" t="s">
        <v>82</v>
      </c>
      <c r="G20" s="9">
        <f>G19*16.5%</f>
        <v>26.317500000000003</v>
      </c>
      <c r="H20" s="9">
        <f>H19*16.5%</f>
        <v>19.305</v>
      </c>
      <c r="J20" s="9" t="s">
        <v>82</v>
      </c>
      <c r="K20" s="9">
        <f>K19*16.5%</f>
        <v>26.317500000000003</v>
      </c>
      <c r="L20" s="9">
        <f>L19*12.5%</f>
        <v>16.25</v>
      </c>
      <c r="N20" s="9" t="s">
        <v>82</v>
      </c>
      <c r="O20" s="9">
        <f>O19*16.5%</f>
        <v>268.125</v>
      </c>
      <c r="P20" s="9">
        <f>P19*16.5%</f>
        <v>264</v>
      </c>
      <c r="R20" s="9" t="s">
        <v>82</v>
      </c>
      <c r="S20" s="9">
        <f>S19*16.5%</f>
        <v>81.674999999999997</v>
      </c>
      <c r="T20" s="9">
        <f>T19*16.5%</f>
        <v>65.174999999999997</v>
      </c>
      <c r="V20" s="9" t="s">
        <v>83</v>
      </c>
      <c r="W20" s="9">
        <f>W19*2%</f>
        <v>0.51</v>
      </c>
      <c r="X20" s="9">
        <v>0</v>
      </c>
      <c r="AA20" s="5" t="s">
        <v>82</v>
      </c>
      <c r="AB20" s="9">
        <f>AB19*12.5%</f>
        <v>17.875</v>
      </c>
      <c r="AC20" s="9">
        <f>AC19*12.5%</f>
        <v>17.25</v>
      </c>
    </row>
    <row r="21" spans="2:29" x14ac:dyDescent="0.25">
      <c r="B21" s="5"/>
      <c r="C21" s="9">
        <f>C19+C20</f>
        <v>320.375</v>
      </c>
      <c r="D21" s="9">
        <f>D19+D20</f>
        <v>314.55</v>
      </c>
      <c r="E21" s="2"/>
      <c r="F21" s="9"/>
      <c r="G21" s="9">
        <f>G19+G20</f>
        <v>185.8175</v>
      </c>
      <c r="H21" s="9">
        <f>H19+H20</f>
        <v>136.30500000000001</v>
      </c>
      <c r="J21" s="9"/>
      <c r="K21" s="9">
        <f>K19+K20</f>
        <v>185.8175</v>
      </c>
      <c r="L21" s="9">
        <f>L19+L20</f>
        <v>146.25</v>
      </c>
      <c r="N21" s="9"/>
      <c r="O21" s="9">
        <f>O19+O20</f>
        <v>1893.125</v>
      </c>
      <c r="P21" s="9">
        <f>P19+P20</f>
        <v>1864</v>
      </c>
      <c r="R21" s="9"/>
      <c r="S21" s="9">
        <f>S19+S20</f>
        <v>576.67499999999995</v>
      </c>
      <c r="T21" s="9">
        <f>T19+T20</f>
        <v>460.17500000000001</v>
      </c>
      <c r="V21" s="9" t="s">
        <v>70</v>
      </c>
      <c r="W21" s="9">
        <v>4</v>
      </c>
      <c r="X21" s="9">
        <v>4</v>
      </c>
      <c r="AA21" s="5"/>
      <c r="AB21" s="9">
        <f>AB19+AB20</f>
        <v>160.875</v>
      </c>
      <c r="AC21" s="9">
        <f>AC19+AC20</f>
        <v>155.25</v>
      </c>
    </row>
    <row r="22" spans="2:29" x14ac:dyDescent="0.25">
      <c r="B22" s="5" t="s">
        <v>83</v>
      </c>
      <c r="C22" s="9">
        <f>C21*2%</f>
        <v>6.4074999999999998</v>
      </c>
      <c r="D22" s="9">
        <f>D21*2%</f>
        <v>6.2910000000000004</v>
      </c>
      <c r="E22" s="2"/>
      <c r="F22" s="9" t="s">
        <v>83</v>
      </c>
      <c r="G22" s="9">
        <f>G21*2%</f>
        <v>3.7163499999999998</v>
      </c>
      <c r="H22" s="9">
        <f>H21*2%</f>
        <v>2.7261000000000002</v>
      </c>
      <c r="J22" s="9" t="s">
        <v>83</v>
      </c>
      <c r="K22" s="9">
        <f>K21*2%</f>
        <v>3.7163499999999998</v>
      </c>
      <c r="L22" s="9">
        <f>L21*2%</f>
        <v>2.9250000000000003</v>
      </c>
      <c r="N22" s="9" t="s">
        <v>83</v>
      </c>
      <c r="O22" s="9">
        <f>O21*2%</f>
        <v>37.862500000000004</v>
      </c>
      <c r="P22" s="9">
        <f>P21*2%</f>
        <v>37.28</v>
      </c>
      <c r="R22" s="9" t="s">
        <v>83</v>
      </c>
      <c r="S22" s="9">
        <f>S21*2%</f>
        <v>11.5335</v>
      </c>
      <c r="T22" s="9">
        <f>T21*2%</f>
        <v>9.2035</v>
      </c>
      <c r="V22" s="9"/>
      <c r="W22" s="9"/>
      <c r="X22" s="9"/>
      <c r="AA22" s="5" t="s">
        <v>261</v>
      </c>
      <c r="AB22" s="9">
        <f>AB21*6%</f>
        <v>9.6524999999999999</v>
      </c>
      <c r="AC22" s="9">
        <f>AC21*6%</f>
        <v>9.3149999999999995</v>
      </c>
    </row>
    <row r="23" spans="2:29" x14ac:dyDescent="0.25">
      <c r="B23" s="5"/>
      <c r="C23" s="9">
        <f>C21+C22</f>
        <v>326.78250000000003</v>
      </c>
      <c r="D23" s="9">
        <f>D21+D22</f>
        <v>320.84100000000001</v>
      </c>
      <c r="E23" s="2"/>
      <c r="F23" s="9"/>
      <c r="G23" s="9">
        <f>G21+G22</f>
        <v>189.53385</v>
      </c>
      <c r="H23" s="9">
        <f>H21+H22</f>
        <v>139.03110000000001</v>
      </c>
      <c r="J23" s="9"/>
      <c r="K23" s="9">
        <f>K21+K22</f>
        <v>189.53385</v>
      </c>
      <c r="L23" s="9">
        <f>L21+L22</f>
        <v>149.17500000000001</v>
      </c>
      <c r="N23" s="9"/>
      <c r="O23" s="9">
        <f>O21+O22</f>
        <v>1930.9875</v>
      </c>
      <c r="P23" s="9">
        <f>P21+P22</f>
        <v>1901.28</v>
      </c>
      <c r="R23" s="9"/>
      <c r="S23" s="9">
        <f>S21+S22</f>
        <v>588.20849999999996</v>
      </c>
      <c r="T23" s="9">
        <f>T21+T22</f>
        <v>469.37850000000003</v>
      </c>
      <c r="V23" s="9" t="s">
        <v>143</v>
      </c>
      <c r="W23" s="9">
        <f>SUM(W19:W22)</f>
        <v>30.01</v>
      </c>
      <c r="X23" s="9">
        <f>SUM(X19:X22)</f>
        <v>17.75</v>
      </c>
      <c r="AA23" s="5"/>
      <c r="AB23" s="9">
        <f>AB21+AB22</f>
        <v>170.5275</v>
      </c>
      <c r="AC23" s="9">
        <f>AC21+AC22</f>
        <v>164.565</v>
      </c>
    </row>
    <row r="24" spans="2:29" x14ac:dyDescent="0.25">
      <c r="B24" s="5" t="s">
        <v>70</v>
      </c>
      <c r="C24" s="9">
        <v>5</v>
      </c>
      <c r="D24" s="9">
        <v>5</v>
      </c>
      <c r="E24" s="2"/>
      <c r="F24" s="9" t="s">
        <v>70</v>
      </c>
      <c r="G24" s="9">
        <v>3.5</v>
      </c>
      <c r="H24" s="9">
        <v>3.5</v>
      </c>
      <c r="J24" s="9" t="s">
        <v>70</v>
      </c>
      <c r="K24" s="9">
        <v>3.5</v>
      </c>
      <c r="L24" s="9">
        <v>5</v>
      </c>
      <c r="N24" s="9" t="s">
        <v>70</v>
      </c>
      <c r="O24" s="9">
        <v>5</v>
      </c>
      <c r="P24" s="9">
        <v>5</v>
      </c>
      <c r="R24" s="9" t="s">
        <v>70</v>
      </c>
      <c r="S24" s="9">
        <v>3.5</v>
      </c>
      <c r="T24" s="9">
        <v>3.5</v>
      </c>
      <c r="V24" s="9"/>
      <c r="W24" s="9"/>
      <c r="X24" s="9"/>
      <c r="AA24" s="5" t="s">
        <v>70</v>
      </c>
      <c r="AB24" s="9">
        <v>4</v>
      </c>
      <c r="AC24" s="9">
        <v>4</v>
      </c>
    </row>
    <row r="25" spans="2:29" x14ac:dyDescent="0.25">
      <c r="B25" s="5"/>
      <c r="C25" s="9">
        <f>C23+C24</f>
        <v>331.78250000000003</v>
      </c>
      <c r="D25" s="9">
        <f>D23+D24</f>
        <v>325.84100000000001</v>
      </c>
      <c r="E25" s="2"/>
      <c r="F25" s="9"/>
      <c r="G25" s="9">
        <f>G23+G24</f>
        <v>193.03385</v>
      </c>
      <c r="H25" s="9">
        <f>H23+H24</f>
        <v>142.53110000000001</v>
      </c>
      <c r="J25" s="9"/>
      <c r="K25" s="9">
        <f>K23+K24</f>
        <v>193.03385</v>
      </c>
      <c r="L25" s="9">
        <f>L23+L24</f>
        <v>154.17500000000001</v>
      </c>
      <c r="N25" s="9"/>
      <c r="O25" s="9">
        <f>O23+O24</f>
        <v>1935.9875</v>
      </c>
      <c r="P25" s="9">
        <f>P23+P24</f>
        <v>1906.28</v>
      </c>
      <c r="R25" s="9"/>
      <c r="S25" s="9">
        <f>S23+S24</f>
        <v>591.70849999999996</v>
      </c>
      <c r="T25" s="9">
        <f>T23+T24</f>
        <v>472.87850000000003</v>
      </c>
      <c r="V25" s="9" t="s">
        <v>15</v>
      </c>
      <c r="W25" s="9"/>
      <c r="X25" s="9">
        <f>W23-X23</f>
        <v>12.260000000000002</v>
      </c>
      <c r="AA25" s="5"/>
      <c r="AB25" s="9">
        <f>AB23+AB24</f>
        <v>174.5275</v>
      </c>
      <c r="AC25" s="9">
        <f>AC23+AC24</f>
        <v>168.565</v>
      </c>
    </row>
    <row r="26" spans="2:29" x14ac:dyDescent="0.25">
      <c r="B26" s="5" t="s">
        <v>84</v>
      </c>
      <c r="C26" s="9">
        <f>-C20</f>
        <v>-45.375</v>
      </c>
      <c r="D26" s="9">
        <f>-D20</f>
        <v>-44.550000000000004</v>
      </c>
      <c r="E26" s="2"/>
      <c r="F26" s="9" t="s">
        <v>84</v>
      </c>
      <c r="G26" s="9">
        <f>-G20</f>
        <v>-26.317500000000003</v>
      </c>
      <c r="H26" s="9">
        <f>-H20</f>
        <v>-19.305</v>
      </c>
      <c r="J26" s="9" t="s">
        <v>84</v>
      </c>
      <c r="K26" s="9">
        <f>-K20</f>
        <v>-26.317500000000003</v>
      </c>
      <c r="L26" s="9">
        <f>-L20</f>
        <v>-16.25</v>
      </c>
      <c r="N26" s="9" t="s">
        <v>84</v>
      </c>
      <c r="O26" s="9">
        <f>-O20</f>
        <v>-268.125</v>
      </c>
      <c r="P26" s="9">
        <f>-P20</f>
        <v>-264</v>
      </c>
      <c r="R26" s="9" t="s">
        <v>84</v>
      </c>
      <c r="S26" s="9">
        <f>-S20</f>
        <v>-81.674999999999997</v>
      </c>
      <c r="T26" s="9">
        <f>-T20</f>
        <v>-65.174999999999997</v>
      </c>
      <c r="V26" s="9"/>
      <c r="W26" s="9"/>
      <c r="X26" s="9"/>
      <c r="AA26" s="5" t="s">
        <v>84</v>
      </c>
      <c r="AB26" s="9">
        <f>-AB20</f>
        <v>-17.875</v>
      </c>
      <c r="AC26" s="9">
        <f>-AC20</f>
        <v>-17.25</v>
      </c>
    </row>
    <row r="27" spans="2:29" x14ac:dyDescent="0.25">
      <c r="B27" s="5" t="s">
        <v>72</v>
      </c>
      <c r="C27" s="9">
        <f>C25+C26</f>
        <v>286.40750000000003</v>
      </c>
      <c r="D27" s="9">
        <f>D25+D26</f>
        <v>281.291</v>
      </c>
      <c r="E27" s="2"/>
      <c r="F27" s="9" t="s">
        <v>72</v>
      </c>
      <c r="G27" s="9">
        <f>G25+G26</f>
        <v>166.71635000000001</v>
      </c>
      <c r="H27" s="9">
        <f>H25+H26</f>
        <v>123.2261</v>
      </c>
      <c r="J27" s="9" t="s">
        <v>72</v>
      </c>
      <c r="K27" s="9">
        <f>K25+K26</f>
        <v>166.71635000000001</v>
      </c>
      <c r="L27" s="9">
        <f>L25+L26</f>
        <v>137.92500000000001</v>
      </c>
      <c r="N27" s="9" t="s">
        <v>72</v>
      </c>
      <c r="O27" s="9"/>
      <c r="P27" s="9">
        <f>O25-P25</f>
        <v>29.707499999999982</v>
      </c>
      <c r="R27" s="9" t="s">
        <v>72</v>
      </c>
      <c r="S27" s="9"/>
      <c r="T27" s="9">
        <f>S25-T25</f>
        <v>118.82999999999993</v>
      </c>
      <c r="V27" s="9"/>
      <c r="W27" s="9"/>
      <c r="X27" s="9"/>
      <c r="AA27" s="5" t="s">
        <v>262</v>
      </c>
      <c r="AB27" s="9">
        <f>-AB22</f>
        <v>-9.6524999999999999</v>
      </c>
      <c r="AC27" s="9">
        <f>-AC22</f>
        <v>-9.3149999999999995</v>
      </c>
    </row>
    <row r="28" spans="2:29" x14ac:dyDescent="0.25">
      <c r="D28" s="2">
        <f>C27-D27</f>
        <v>5.1165000000000305</v>
      </c>
      <c r="H28" s="2">
        <f>G27-H27</f>
        <v>43.490250000000003</v>
      </c>
      <c r="L28" s="2">
        <f>K27-L27</f>
        <v>28.791349999999994</v>
      </c>
      <c r="AA28" s="5"/>
      <c r="AB28" s="9">
        <f>SUM(AB25:AB27)</f>
        <v>147</v>
      </c>
      <c r="AC28" s="9">
        <f>SUM(AC25:AC27)</f>
        <v>142</v>
      </c>
    </row>
    <row r="29" spans="2:29" x14ac:dyDescent="0.25">
      <c r="AA29" s="5" t="s">
        <v>72</v>
      </c>
      <c r="AB29" s="5"/>
      <c r="AC29" s="9">
        <f>AB28-AC28</f>
        <v>5</v>
      </c>
    </row>
    <row r="30" spans="2:29" x14ac:dyDescent="0.25">
      <c r="B30" s="20" t="s">
        <v>279</v>
      </c>
      <c r="C30" s="23"/>
      <c r="D30" s="23"/>
      <c r="H30" s="56"/>
    </row>
    <row r="31" spans="2:29" x14ac:dyDescent="0.25">
      <c r="B31" s="5"/>
      <c r="C31" s="57" t="s">
        <v>280</v>
      </c>
      <c r="D31" s="58"/>
      <c r="F31" s="57" t="s">
        <v>275</v>
      </c>
      <c r="G31" s="58"/>
      <c r="H31" s="56"/>
      <c r="J31" s="73" t="s">
        <v>166</v>
      </c>
      <c r="K31" s="74"/>
      <c r="M31" s="57" t="s">
        <v>316</v>
      </c>
      <c r="N31" s="57"/>
    </row>
    <row r="32" spans="2:29" x14ac:dyDescent="0.25">
      <c r="B32" s="5"/>
      <c r="C32" s="7" t="s">
        <v>281</v>
      </c>
      <c r="D32" s="6" t="s">
        <v>282</v>
      </c>
      <c r="F32" s="7" t="s">
        <v>283</v>
      </c>
      <c r="G32" s="6" t="s">
        <v>284</v>
      </c>
      <c r="H32" s="56"/>
      <c r="J32" s="7" t="s">
        <v>297</v>
      </c>
      <c r="K32" s="6" t="s">
        <v>57</v>
      </c>
      <c r="M32" s="7" t="s">
        <v>317</v>
      </c>
      <c r="N32" s="6" t="s">
        <v>318</v>
      </c>
      <c r="O32" s="57"/>
    </row>
    <row r="33" spans="2:15" x14ac:dyDescent="0.25">
      <c r="B33" s="5" t="s">
        <v>64</v>
      </c>
      <c r="C33" s="9">
        <v>75</v>
      </c>
      <c r="D33" s="9">
        <v>70</v>
      </c>
      <c r="F33" s="9">
        <v>385</v>
      </c>
      <c r="G33" s="9">
        <v>289</v>
      </c>
      <c r="H33" s="56"/>
      <c r="J33" s="9">
        <v>180</v>
      </c>
      <c r="K33" s="9">
        <v>175</v>
      </c>
      <c r="M33" s="9">
        <v>950</v>
      </c>
      <c r="N33" s="9">
        <v>262</v>
      </c>
      <c r="O33" s="6"/>
    </row>
    <row r="34" spans="2:15" x14ac:dyDescent="0.25">
      <c r="B34" s="5" t="s">
        <v>65</v>
      </c>
      <c r="C34" s="9">
        <f>C33*16.5%</f>
        <v>12.375</v>
      </c>
      <c r="D34" s="9">
        <f>D33*16.5%</f>
        <v>11.55</v>
      </c>
      <c r="F34" s="9">
        <f>F33*16.5%</f>
        <v>63.525000000000006</v>
      </c>
      <c r="G34" s="9">
        <f>G33*16.5%</f>
        <v>47.685000000000002</v>
      </c>
      <c r="H34" s="56"/>
      <c r="J34" s="9">
        <f>J33*16.5%</f>
        <v>29.700000000000003</v>
      </c>
      <c r="K34" s="9">
        <f>K33*16.5%</f>
        <v>28.875</v>
      </c>
      <c r="M34" s="9">
        <f>M33*16.5%</f>
        <v>156.75</v>
      </c>
      <c r="N34" s="9">
        <f>N33*12.5%</f>
        <v>32.75</v>
      </c>
      <c r="O34" s="9"/>
    </row>
    <row r="35" spans="2:15" x14ac:dyDescent="0.25">
      <c r="B35" s="5" t="s">
        <v>4</v>
      </c>
      <c r="C35" s="9">
        <f t="shared" ref="C35:D35" si="115">C33+C34</f>
        <v>87.375</v>
      </c>
      <c r="D35" s="9">
        <f t="shared" si="115"/>
        <v>81.55</v>
      </c>
      <c r="F35" s="9">
        <f t="shared" ref="F35:G35" si="116">F33+F34</f>
        <v>448.52499999999998</v>
      </c>
      <c r="G35" s="9">
        <f t="shared" si="116"/>
        <v>336.685</v>
      </c>
      <c r="H35" s="56"/>
      <c r="J35" s="9">
        <f t="shared" ref="J35:K35" si="117">J33+J34</f>
        <v>209.7</v>
      </c>
      <c r="K35" s="9">
        <f t="shared" si="117"/>
        <v>203.875</v>
      </c>
      <c r="M35" s="9">
        <f t="shared" ref="M35:N35" si="118">M33+M34</f>
        <v>1106.75</v>
      </c>
      <c r="N35" s="9">
        <f t="shared" si="118"/>
        <v>294.75</v>
      </c>
      <c r="O35" s="9"/>
    </row>
    <row r="36" spans="2:15" x14ac:dyDescent="0.25">
      <c r="B36" s="5" t="s">
        <v>285</v>
      </c>
      <c r="C36" s="9">
        <f>C35*5.5%</f>
        <v>4.805625</v>
      </c>
      <c r="D36" s="9">
        <f>D35*5.5%</f>
        <v>4.4852499999999997</v>
      </c>
      <c r="F36" s="9">
        <f>F35*6%</f>
        <v>26.911499999999997</v>
      </c>
      <c r="G36" s="9">
        <f>G35*2%</f>
        <v>6.7336999999999998</v>
      </c>
      <c r="H36" s="56"/>
      <c r="J36" s="9">
        <f t="shared" ref="J36:K36" si="119">J35*2%</f>
        <v>4.194</v>
      </c>
      <c r="K36" s="9">
        <f t="shared" si="119"/>
        <v>4.0774999999999997</v>
      </c>
      <c r="M36" s="9">
        <f>M35*6%</f>
        <v>66.405000000000001</v>
      </c>
      <c r="N36" s="9">
        <f>N35*6%</f>
        <v>17.684999999999999</v>
      </c>
      <c r="O36" s="9"/>
    </row>
    <row r="37" spans="2:15" x14ac:dyDescent="0.25">
      <c r="B37" s="5" t="s">
        <v>4</v>
      </c>
      <c r="C37" s="9">
        <f t="shared" ref="C37:D37" si="120">C35+C36</f>
        <v>92.180625000000006</v>
      </c>
      <c r="D37" s="9">
        <f t="shared" si="120"/>
        <v>86.035249999999991</v>
      </c>
      <c r="F37" s="9">
        <f t="shared" ref="F37:G37" si="121">F35+F36</f>
        <v>475.43649999999997</v>
      </c>
      <c r="G37" s="9">
        <f t="shared" si="121"/>
        <v>343.4187</v>
      </c>
      <c r="H37" s="56"/>
      <c r="J37" s="9">
        <f t="shared" ref="J37:K37" si="122">J35+J36</f>
        <v>213.89399999999998</v>
      </c>
      <c r="K37" s="9">
        <f t="shared" si="122"/>
        <v>207.95249999999999</v>
      </c>
      <c r="M37" s="9">
        <f t="shared" ref="M37:N37" si="123">M35+M36</f>
        <v>1173.155</v>
      </c>
      <c r="N37" s="9">
        <f t="shared" si="123"/>
        <v>312.435</v>
      </c>
      <c r="O37" s="9"/>
    </row>
    <row r="38" spans="2:15" x14ac:dyDescent="0.25">
      <c r="B38" s="5" t="s">
        <v>70</v>
      </c>
      <c r="C38" s="9">
        <v>5</v>
      </c>
      <c r="D38" s="9">
        <v>5</v>
      </c>
      <c r="F38" s="9">
        <v>5</v>
      </c>
      <c r="G38" s="9">
        <v>0</v>
      </c>
      <c r="H38" s="56"/>
      <c r="J38" s="9">
        <v>0</v>
      </c>
      <c r="K38" s="9">
        <v>0</v>
      </c>
      <c r="M38" s="9">
        <v>5</v>
      </c>
      <c r="N38" s="9">
        <v>4</v>
      </c>
      <c r="O38" s="9"/>
    </row>
    <row r="39" spans="2:15" x14ac:dyDescent="0.25">
      <c r="B39" s="5" t="s">
        <v>4</v>
      </c>
      <c r="C39" s="9">
        <f t="shared" ref="C39:D39" si="124">C37+C38</f>
        <v>97.180625000000006</v>
      </c>
      <c r="D39" s="9">
        <f t="shared" si="124"/>
        <v>91.035249999999991</v>
      </c>
      <c r="F39" s="9">
        <f t="shared" ref="F39:G39" si="125">F37+F38</f>
        <v>480.43649999999997</v>
      </c>
      <c r="G39" s="9">
        <f t="shared" si="125"/>
        <v>343.4187</v>
      </c>
      <c r="H39" s="56"/>
      <c r="J39" s="9">
        <f t="shared" ref="J39:K39" si="126">J37+J38</f>
        <v>213.89399999999998</v>
      </c>
      <c r="K39" s="9">
        <f t="shared" si="126"/>
        <v>207.95249999999999</v>
      </c>
      <c r="M39" s="9">
        <f t="shared" ref="M39:N39" si="127">M37+M38</f>
        <v>1178.155</v>
      </c>
      <c r="N39" s="9">
        <f t="shared" si="127"/>
        <v>316.435</v>
      </c>
      <c r="O39" s="9"/>
    </row>
    <row r="40" spans="2:15" x14ac:dyDescent="0.25">
      <c r="B40" s="5" t="s">
        <v>286</v>
      </c>
      <c r="C40" s="9">
        <f>C34</f>
        <v>12.375</v>
      </c>
      <c r="D40" s="9">
        <f>D34</f>
        <v>11.55</v>
      </c>
      <c r="F40" s="9">
        <f>F34</f>
        <v>63.525000000000006</v>
      </c>
      <c r="G40" s="9">
        <f>G34</f>
        <v>47.685000000000002</v>
      </c>
      <c r="H40" s="56"/>
      <c r="J40" s="9">
        <f>J34</f>
        <v>29.700000000000003</v>
      </c>
      <c r="K40" s="9">
        <f>K34</f>
        <v>28.875</v>
      </c>
      <c r="M40" s="9">
        <f>M34</f>
        <v>156.75</v>
      </c>
      <c r="N40" s="9">
        <f>N34</f>
        <v>32.75</v>
      </c>
      <c r="O40" s="9"/>
    </row>
    <row r="41" spans="2:15" x14ac:dyDescent="0.25">
      <c r="B41" s="5" t="s">
        <v>287</v>
      </c>
      <c r="C41" s="9">
        <f>C36</f>
        <v>4.805625</v>
      </c>
      <c r="D41" s="9">
        <f>D36</f>
        <v>4.4852499999999997</v>
      </c>
      <c r="F41" s="9">
        <f>F36</f>
        <v>26.911499999999997</v>
      </c>
      <c r="G41" s="9">
        <f>G36</f>
        <v>6.7336999999999998</v>
      </c>
      <c r="H41" s="56"/>
      <c r="J41" s="9">
        <f>J39-J40</f>
        <v>184.19399999999996</v>
      </c>
      <c r="K41" s="9">
        <f>K39-K40</f>
        <v>179.07749999999999</v>
      </c>
      <c r="M41" s="9">
        <f>M39-M40</f>
        <v>1021.405</v>
      </c>
      <c r="N41" s="9">
        <f>N39-N40</f>
        <v>283.685</v>
      </c>
      <c r="O41" s="9"/>
    </row>
    <row r="42" spans="2:15" x14ac:dyDescent="0.25">
      <c r="B42" s="5" t="s">
        <v>4</v>
      </c>
      <c r="C42" s="9">
        <f>C39-C40-C41</f>
        <v>80</v>
      </c>
      <c r="D42" s="9">
        <f>D39-D40-D41</f>
        <v>75</v>
      </c>
      <c r="F42" s="9">
        <f>F39-F40-F41</f>
        <v>389.99999999999994</v>
      </c>
      <c r="G42" s="9">
        <f>G39-G40-G41</f>
        <v>289</v>
      </c>
      <c r="H42" s="56"/>
      <c r="J42" s="24"/>
      <c r="K42" s="25">
        <f>J41-K41</f>
        <v>5.1164999999999736</v>
      </c>
      <c r="M42" s="25">
        <f>M36</f>
        <v>66.405000000000001</v>
      </c>
      <c r="N42" s="25">
        <f>N36</f>
        <v>17.684999999999999</v>
      </c>
      <c r="O42" s="9"/>
    </row>
    <row r="43" spans="2:15" x14ac:dyDescent="0.25">
      <c r="B43" s="5" t="s">
        <v>288</v>
      </c>
      <c r="C43" s="9"/>
      <c r="D43" s="9">
        <f>C42-D42</f>
        <v>5</v>
      </c>
      <c r="F43" s="9"/>
      <c r="G43" s="9">
        <f>F42-G42</f>
        <v>100.99999999999994</v>
      </c>
      <c r="H43" s="56"/>
      <c r="M43" s="9">
        <f>M41-M42</f>
        <v>955</v>
      </c>
      <c r="N43" s="9">
        <f>N41-N42</f>
        <v>266</v>
      </c>
      <c r="O43" s="25"/>
    </row>
    <row r="44" spans="2:15" x14ac:dyDescent="0.25">
      <c r="M44" s="5"/>
      <c r="N44" s="9">
        <f>M43-N43</f>
        <v>689</v>
      </c>
      <c r="O44" s="9"/>
    </row>
    <row r="45" spans="2:15" x14ac:dyDescent="0.25">
      <c r="M45" s="5"/>
      <c r="N45" s="5"/>
      <c r="O45" s="9"/>
    </row>
  </sheetData>
  <mergeCells count="14">
    <mergeCell ref="J31:K31"/>
    <mergeCell ref="CL2:CM2"/>
    <mergeCell ref="CB2:CC2"/>
    <mergeCell ref="BY2:BZ2"/>
    <mergeCell ref="C2:D2"/>
    <mergeCell ref="AU2:AV2"/>
    <mergeCell ref="AX2:AY2"/>
    <mergeCell ref="BA2:BB2"/>
    <mergeCell ref="BV2:BW2"/>
    <mergeCell ref="BG2:BH2"/>
    <mergeCell ref="BJ2:BK2"/>
    <mergeCell ref="BM2:BN2"/>
    <mergeCell ref="BP2:BQ2"/>
    <mergeCell ref="BD2:BE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G18" sqref="G18"/>
    </sheetView>
  </sheetViews>
  <sheetFormatPr defaultRowHeight="15" x14ac:dyDescent="0.25"/>
  <cols>
    <col min="1" max="1" width="9.7109375" style="1" bestFit="1" customWidth="1"/>
    <col min="2" max="2" width="21.7109375" style="1" bestFit="1" customWidth="1"/>
    <col min="3" max="3" width="18" style="1" bestFit="1" customWidth="1"/>
    <col min="4" max="4" width="42.140625" style="1" bestFit="1" customWidth="1"/>
    <col min="5" max="5" width="17.85546875" style="1" bestFit="1" customWidth="1"/>
    <col min="6" max="6" width="16.140625" style="1" bestFit="1" customWidth="1"/>
    <col min="7" max="7" width="25.140625" style="1" bestFit="1" customWidth="1"/>
    <col min="8" max="8" width="12.140625" style="1" bestFit="1" customWidth="1"/>
    <col min="9" max="16384" width="9.140625" style="1"/>
  </cols>
  <sheetData>
    <row r="1" spans="1:23" x14ac:dyDescent="0.25">
      <c r="A1" s="5"/>
      <c r="B1" s="5"/>
      <c r="C1" s="5" t="s">
        <v>107</v>
      </c>
      <c r="D1" s="5"/>
      <c r="E1" s="5" t="s">
        <v>107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5"/>
      <c r="B2" s="5"/>
      <c r="C2" s="5"/>
      <c r="D2" s="5"/>
      <c r="E2" s="5"/>
      <c r="F2" s="5"/>
      <c r="G2" s="12"/>
      <c r="H2" s="12"/>
      <c r="I2" s="13" t="s"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13" t="s">
        <v>5</v>
      </c>
      <c r="B3" s="13" t="s">
        <v>9</v>
      </c>
      <c r="C3" s="13" t="s">
        <v>0</v>
      </c>
      <c r="D3" s="13" t="s">
        <v>1</v>
      </c>
      <c r="E3" s="13" t="s">
        <v>2</v>
      </c>
      <c r="F3" s="13" t="s">
        <v>86</v>
      </c>
      <c r="G3" s="13" t="s">
        <v>103</v>
      </c>
      <c r="H3" s="13" t="s">
        <v>106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5" t="s">
        <v>6</v>
      </c>
      <c r="B4" s="5" t="s">
        <v>16</v>
      </c>
      <c r="C4" s="5" t="s">
        <v>17</v>
      </c>
      <c r="D4" s="6" t="s">
        <v>18</v>
      </c>
      <c r="E4" s="11">
        <v>1000</v>
      </c>
      <c r="F4" s="9">
        <v>17.21</v>
      </c>
      <c r="G4" s="14">
        <f t="shared" ref="G4:G9" si="0">E4*F4</f>
        <v>17210</v>
      </c>
      <c r="H4" s="14"/>
      <c r="I4" s="5" t="s">
        <v>118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30" x14ac:dyDescent="0.25">
      <c r="A5" s="5" t="s">
        <v>7</v>
      </c>
      <c r="B5" s="5" t="s">
        <v>12</v>
      </c>
      <c r="C5" s="15" t="s">
        <v>31</v>
      </c>
      <c r="D5" s="6" t="s">
        <v>8</v>
      </c>
      <c r="E5" s="11">
        <v>100</v>
      </c>
      <c r="F5" s="9">
        <v>91.8</v>
      </c>
      <c r="G5" s="14">
        <f t="shared" si="0"/>
        <v>9180</v>
      </c>
      <c r="H5" s="14"/>
      <c r="I5" s="5" t="s">
        <v>119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5" t="s">
        <v>7</v>
      </c>
      <c r="B6" s="5" t="s">
        <v>16</v>
      </c>
      <c r="C6" s="5" t="s">
        <v>23</v>
      </c>
      <c r="D6" s="6" t="s">
        <v>38</v>
      </c>
      <c r="E6" s="11">
        <v>480</v>
      </c>
      <c r="F6" s="9">
        <v>19.510000000000002</v>
      </c>
      <c r="G6" s="14">
        <f t="shared" si="0"/>
        <v>9364.8000000000011</v>
      </c>
      <c r="H6" s="14"/>
      <c r="I6" s="5" t="s">
        <v>24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5" t="s">
        <v>7</v>
      </c>
      <c r="B7" s="5" t="s">
        <v>16</v>
      </c>
      <c r="C7" s="5" t="s">
        <v>23</v>
      </c>
      <c r="D7" s="6" t="s">
        <v>25</v>
      </c>
      <c r="E7" s="11">
        <v>600</v>
      </c>
      <c r="F7" s="9">
        <v>11.48</v>
      </c>
      <c r="G7" s="14">
        <f t="shared" si="0"/>
        <v>6888</v>
      </c>
      <c r="H7" s="14"/>
      <c r="I7" s="5" t="s">
        <v>24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5" t="s">
        <v>7</v>
      </c>
      <c r="B8" s="5" t="s">
        <v>16</v>
      </c>
      <c r="C8" s="5" t="s">
        <v>23</v>
      </c>
      <c r="D8" s="6" t="s">
        <v>37</v>
      </c>
      <c r="E8" s="11">
        <v>30</v>
      </c>
      <c r="F8" s="9">
        <v>28.69</v>
      </c>
      <c r="G8" s="14">
        <f t="shared" si="0"/>
        <v>860.7</v>
      </c>
      <c r="H8" s="14"/>
      <c r="I8" s="5" t="s">
        <v>24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5" t="s">
        <v>7</v>
      </c>
      <c r="B9" s="5" t="s">
        <v>16</v>
      </c>
      <c r="C9" s="5" t="s">
        <v>26</v>
      </c>
      <c r="D9" s="6" t="s">
        <v>27</v>
      </c>
      <c r="E9" s="11">
        <v>100</v>
      </c>
      <c r="F9" s="9">
        <v>6</v>
      </c>
      <c r="G9" s="14">
        <f t="shared" si="0"/>
        <v>600</v>
      </c>
      <c r="H9" s="14"/>
      <c r="I9" s="5" t="s">
        <v>28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5" t="s">
        <v>7</v>
      </c>
      <c r="B10" s="5" t="s">
        <v>30</v>
      </c>
      <c r="C10" s="5" t="s">
        <v>19</v>
      </c>
      <c r="D10" s="6" t="s">
        <v>88</v>
      </c>
      <c r="E10" s="11">
        <v>645</v>
      </c>
      <c r="F10" s="14">
        <v>21.98</v>
      </c>
      <c r="G10" s="14">
        <f t="shared" ref="G10" si="1">E10*F10</f>
        <v>14177.1</v>
      </c>
      <c r="H10" s="5"/>
      <c r="I10" s="5" t="s">
        <v>95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16"/>
      <c r="B11" s="16"/>
      <c r="C11" s="16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5"/>
      <c r="T11" s="5"/>
      <c r="U11" s="5"/>
      <c r="V11" s="5"/>
      <c r="W11" s="5"/>
    </row>
    <row r="12" spans="1:23" x14ac:dyDescent="0.25">
      <c r="A12" s="11" t="s">
        <v>6</v>
      </c>
      <c r="B12" s="5" t="s">
        <v>98</v>
      </c>
      <c r="C12" s="5" t="s">
        <v>63</v>
      </c>
      <c r="D12" s="5" t="s">
        <v>102</v>
      </c>
      <c r="E12" s="6">
        <v>20000</v>
      </c>
      <c r="F12" s="14">
        <v>1.1000000000000001</v>
      </c>
      <c r="G12" s="5"/>
      <c r="H12" s="5">
        <f t="shared" ref="H12:H15" si="2">E12*F12</f>
        <v>22000</v>
      </c>
      <c r="I12" s="11" t="s">
        <v>105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11" t="s">
        <v>7</v>
      </c>
      <c r="B13" s="5" t="s">
        <v>98</v>
      </c>
      <c r="C13" s="11" t="s">
        <v>97</v>
      </c>
      <c r="D13" s="6" t="s">
        <v>33</v>
      </c>
      <c r="E13" s="5">
        <v>200</v>
      </c>
      <c r="F13" s="14">
        <v>43.49</v>
      </c>
      <c r="G13" s="34"/>
      <c r="H13" s="33">
        <f t="shared" si="2"/>
        <v>8698</v>
      </c>
      <c r="I13" s="14" t="s">
        <v>115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5" t="s">
        <v>7</v>
      </c>
      <c r="B14" s="5" t="s">
        <v>108</v>
      </c>
      <c r="C14" s="5" t="s">
        <v>109</v>
      </c>
      <c r="D14" s="6" t="s">
        <v>110</v>
      </c>
      <c r="E14" s="11">
        <v>3000</v>
      </c>
      <c r="F14" s="14">
        <v>5.5</v>
      </c>
      <c r="G14" s="5"/>
      <c r="H14" s="5">
        <f t="shared" si="2"/>
        <v>16500</v>
      </c>
      <c r="I14" s="5" t="s">
        <v>113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5" t="s">
        <v>7</v>
      </c>
      <c r="B15" s="5" t="s">
        <v>108</v>
      </c>
      <c r="C15" s="5" t="s">
        <v>111</v>
      </c>
      <c r="D15" s="6" t="s">
        <v>112</v>
      </c>
      <c r="E15" s="11">
        <v>900</v>
      </c>
      <c r="F15" s="14">
        <v>11.48</v>
      </c>
      <c r="G15" s="5"/>
      <c r="H15" s="5">
        <f t="shared" si="2"/>
        <v>10332</v>
      </c>
      <c r="I15" s="5" t="s">
        <v>114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5"/>
      <c r="B16" s="5"/>
      <c r="C16" s="5"/>
      <c r="D16" s="5"/>
      <c r="E16" s="5"/>
      <c r="F16" s="13" t="s">
        <v>4</v>
      </c>
      <c r="G16" s="18">
        <f>SUM(G4:G15)</f>
        <v>58280.6</v>
      </c>
      <c r="H16" s="18">
        <f>SUM(H4:H15)</f>
        <v>57530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5"/>
      <c r="B18" s="5"/>
      <c r="C18" s="5"/>
      <c r="D18" s="5"/>
      <c r="E18" s="5" t="s">
        <v>39</v>
      </c>
      <c r="F18" s="5"/>
      <c r="G18" s="18">
        <f>G16+H16</f>
        <v>115810.6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21" spans="1:23" x14ac:dyDescent="0.25">
      <c r="B21" s="20" t="s">
        <v>133</v>
      </c>
    </row>
    <row r="22" spans="1:23" x14ac:dyDescent="0.25">
      <c r="B22" s="1" t="s">
        <v>137</v>
      </c>
    </row>
    <row r="23" spans="1:23" x14ac:dyDescent="0.25">
      <c r="B23" s="1" t="s">
        <v>136</v>
      </c>
    </row>
    <row r="24" spans="1:23" x14ac:dyDescent="0.25">
      <c r="B24" s="1" t="s">
        <v>138</v>
      </c>
    </row>
    <row r="25" spans="1:23" x14ac:dyDescent="0.25">
      <c r="B25" s="1" t="s">
        <v>140</v>
      </c>
    </row>
    <row r="26" spans="1:23" x14ac:dyDescent="0.25">
      <c r="B26" s="1" t="s">
        <v>139</v>
      </c>
    </row>
    <row r="27" spans="1:23" x14ac:dyDescent="0.25">
      <c r="B27" s="1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18" sqref="G18"/>
    </sheetView>
  </sheetViews>
  <sheetFormatPr defaultRowHeight="15" x14ac:dyDescent="0.25"/>
  <cols>
    <col min="2" max="2" width="21.7109375" bestFit="1" customWidth="1"/>
    <col min="3" max="3" width="24.28515625" customWidth="1"/>
    <col min="4" max="4" width="34.85546875" bestFit="1" customWidth="1"/>
    <col min="7" max="7" width="19" bestFit="1" customWidth="1"/>
    <col min="8" max="8" width="12.140625" bestFit="1" customWidth="1"/>
    <col min="9" max="9" width="106.7109375" bestFit="1" customWidth="1"/>
  </cols>
  <sheetData>
    <row r="1" spans="1:15" x14ac:dyDescent="0.25">
      <c r="A1" s="5"/>
      <c r="B1" s="5"/>
      <c r="C1" s="5" t="s">
        <v>148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12"/>
      <c r="H2" s="12"/>
      <c r="I2" s="13" t="s">
        <v>3</v>
      </c>
      <c r="J2" s="5"/>
      <c r="K2" s="5"/>
      <c r="L2" s="5"/>
      <c r="M2" s="5"/>
      <c r="N2" s="5"/>
      <c r="O2" s="5"/>
    </row>
    <row r="3" spans="1:15" x14ac:dyDescent="0.25">
      <c r="A3" s="13" t="s">
        <v>5</v>
      </c>
      <c r="B3" s="13" t="s">
        <v>9</v>
      </c>
      <c r="C3" s="13" t="s">
        <v>0</v>
      </c>
      <c r="D3" s="13" t="s">
        <v>1</v>
      </c>
      <c r="E3" s="13" t="s">
        <v>2</v>
      </c>
      <c r="F3" s="13" t="s">
        <v>86</v>
      </c>
      <c r="G3" s="13" t="s">
        <v>103</v>
      </c>
      <c r="H3" s="13" t="s">
        <v>106</v>
      </c>
      <c r="I3" s="5"/>
      <c r="J3" s="5"/>
      <c r="K3" s="5"/>
      <c r="L3" s="5"/>
      <c r="M3" s="5"/>
      <c r="N3" s="5"/>
      <c r="O3" s="5"/>
    </row>
    <row r="4" spans="1:15" x14ac:dyDescent="0.25">
      <c r="A4" s="5" t="s">
        <v>6</v>
      </c>
      <c r="B4" s="5" t="s">
        <v>16</v>
      </c>
      <c r="C4" s="11" t="s">
        <v>17</v>
      </c>
      <c r="D4" s="6" t="s">
        <v>18</v>
      </c>
      <c r="E4" s="11">
        <v>2075</v>
      </c>
      <c r="F4" s="9">
        <v>17.21</v>
      </c>
      <c r="G4" s="14">
        <f t="shared" ref="G4:G8" si="0">E4*F4</f>
        <v>35710.75</v>
      </c>
      <c r="H4" s="14"/>
      <c r="I4" s="5" t="s">
        <v>118</v>
      </c>
      <c r="J4" s="5"/>
      <c r="K4" s="5"/>
      <c r="L4" s="5"/>
      <c r="M4" s="5"/>
      <c r="N4" s="5"/>
      <c r="O4" s="5"/>
    </row>
    <row r="5" spans="1:15" s="1" customFormat="1" x14ac:dyDescent="0.25">
      <c r="A5" s="5" t="s">
        <v>6</v>
      </c>
      <c r="B5" s="5" t="s">
        <v>12</v>
      </c>
      <c r="C5" s="11" t="s">
        <v>13</v>
      </c>
      <c r="D5" s="6" t="s">
        <v>14</v>
      </c>
      <c r="E5" s="6">
        <v>50</v>
      </c>
      <c r="F5" s="14">
        <v>72.87</v>
      </c>
      <c r="G5" s="14">
        <f t="shared" si="0"/>
        <v>3643.5</v>
      </c>
      <c r="H5" s="5"/>
      <c r="I5" s="5" t="s">
        <v>96</v>
      </c>
      <c r="J5" s="5"/>
      <c r="K5" s="5"/>
      <c r="L5" s="5"/>
      <c r="M5" s="5"/>
      <c r="N5" s="5"/>
      <c r="O5" s="5"/>
    </row>
    <row r="6" spans="1:15" s="1" customFormat="1" x14ac:dyDescent="0.25">
      <c r="A6" s="5" t="s">
        <v>7</v>
      </c>
      <c r="B6" s="5" t="s">
        <v>16</v>
      </c>
      <c r="C6" s="11" t="s">
        <v>20</v>
      </c>
      <c r="D6" s="6" t="s">
        <v>21</v>
      </c>
      <c r="E6" s="5">
        <v>50</v>
      </c>
      <c r="F6" s="9">
        <v>91.18</v>
      </c>
      <c r="G6" s="14">
        <f t="shared" si="0"/>
        <v>4559</v>
      </c>
      <c r="H6" s="5"/>
      <c r="I6" s="5" t="s">
        <v>22</v>
      </c>
      <c r="J6" s="5"/>
      <c r="K6" s="5"/>
      <c r="L6" s="5"/>
      <c r="M6" s="5"/>
      <c r="N6" s="5"/>
      <c r="O6" s="5"/>
    </row>
    <row r="7" spans="1:15" x14ac:dyDescent="0.25">
      <c r="A7" s="5" t="s">
        <v>7</v>
      </c>
      <c r="B7" s="5" t="s">
        <v>12</v>
      </c>
      <c r="C7" s="11" t="s">
        <v>31</v>
      </c>
      <c r="D7" s="6" t="s">
        <v>8</v>
      </c>
      <c r="E7" s="11">
        <v>100</v>
      </c>
      <c r="F7" s="9">
        <v>91.8</v>
      </c>
      <c r="G7" s="14">
        <f t="shared" si="0"/>
        <v>9180</v>
      </c>
      <c r="H7" s="14"/>
      <c r="I7" s="5" t="s">
        <v>119</v>
      </c>
      <c r="J7" s="5"/>
      <c r="K7" s="5"/>
      <c r="L7" s="5"/>
      <c r="M7" s="5"/>
      <c r="N7" s="5"/>
      <c r="O7" s="5"/>
    </row>
    <row r="8" spans="1:15" x14ac:dyDescent="0.25">
      <c r="A8" s="5" t="s">
        <v>7</v>
      </c>
      <c r="B8" s="5" t="s">
        <v>85</v>
      </c>
      <c r="C8" s="11" t="s">
        <v>40</v>
      </c>
      <c r="D8" s="6" t="s">
        <v>41</v>
      </c>
      <c r="E8" s="5">
        <v>200</v>
      </c>
      <c r="F8" s="9">
        <v>5.94</v>
      </c>
      <c r="G8" s="14">
        <f t="shared" si="0"/>
        <v>1188</v>
      </c>
      <c r="H8" s="14"/>
      <c r="I8" s="5" t="s">
        <v>153</v>
      </c>
      <c r="J8" s="5"/>
      <c r="K8" s="5"/>
      <c r="L8" s="5"/>
      <c r="M8" s="5"/>
      <c r="N8" s="5"/>
      <c r="O8" s="5"/>
    </row>
    <row r="9" spans="1:15" x14ac:dyDescent="0.25">
      <c r="A9" s="16"/>
      <c r="B9" s="16"/>
      <c r="C9" s="16"/>
      <c r="D9" s="16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5">
      <c r="A10" s="11" t="s">
        <v>6</v>
      </c>
      <c r="B10" s="5" t="s">
        <v>98</v>
      </c>
      <c r="C10" s="11" t="s">
        <v>63</v>
      </c>
      <c r="D10" s="5" t="s">
        <v>102</v>
      </c>
      <c r="E10" s="6">
        <v>41000</v>
      </c>
      <c r="F10" s="14">
        <v>1.1000000000000001</v>
      </c>
      <c r="G10" s="5"/>
      <c r="H10" s="5">
        <f t="shared" ref="H10:H15" si="1">E10*F10</f>
        <v>45100.000000000007</v>
      </c>
      <c r="I10" s="11" t="s">
        <v>105</v>
      </c>
      <c r="J10" s="5"/>
      <c r="K10" s="5"/>
      <c r="L10" s="5"/>
      <c r="M10" s="5"/>
      <c r="N10" s="5"/>
      <c r="O10" s="5"/>
    </row>
    <row r="11" spans="1:15" x14ac:dyDescent="0.25">
      <c r="A11" s="5" t="s">
        <v>7</v>
      </c>
      <c r="B11" s="5" t="s">
        <v>149</v>
      </c>
      <c r="C11" s="11" t="s">
        <v>150</v>
      </c>
      <c r="D11" s="6" t="s">
        <v>29</v>
      </c>
      <c r="E11" s="11">
        <v>250</v>
      </c>
      <c r="F11" s="9">
        <v>25</v>
      </c>
      <c r="G11" s="5"/>
      <c r="H11" s="5">
        <f t="shared" si="1"/>
        <v>6250</v>
      </c>
      <c r="I11" s="5" t="s">
        <v>151</v>
      </c>
      <c r="J11" s="5"/>
      <c r="K11" s="5"/>
      <c r="L11" s="5"/>
      <c r="M11" s="5"/>
      <c r="N11" s="5"/>
      <c r="O11" s="5"/>
    </row>
    <row r="12" spans="1:15" s="1" customFormat="1" x14ac:dyDescent="0.25">
      <c r="A12" s="5" t="s">
        <v>6</v>
      </c>
      <c r="B12" s="5" t="s">
        <v>144</v>
      </c>
      <c r="C12" s="11" t="s">
        <v>145</v>
      </c>
      <c r="D12" s="6" t="s">
        <v>146</v>
      </c>
      <c r="E12" s="11">
        <v>2450</v>
      </c>
      <c r="F12" s="14">
        <v>12.25</v>
      </c>
      <c r="G12" s="5"/>
      <c r="H12" s="5">
        <f t="shared" si="1"/>
        <v>30012.5</v>
      </c>
      <c r="I12" s="5" t="s">
        <v>147</v>
      </c>
      <c r="J12" s="5"/>
      <c r="K12" s="5"/>
      <c r="L12" s="5"/>
      <c r="M12" s="5"/>
      <c r="N12" s="5"/>
      <c r="O12" s="5"/>
    </row>
    <row r="13" spans="1:15" ht="30" x14ac:dyDescent="0.25">
      <c r="A13" s="11" t="s">
        <v>7</v>
      </c>
      <c r="B13" s="11" t="s">
        <v>116</v>
      </c>
      <c r="C13" s="19" t="s">
        <v>129</v>
      </c>
      <c r="D13" s="11" t="s">
        <v>117</v>
      </c>
      <c r="E13" s="6">
        <v>100000</v>
      </c>
      <c r="F13" s="14">
        <v>0.2</v>
      </c>
      <c r="G13" s="5"/>
      <c r="H13" s="5">
        <f t="shared" si="1"/>
        <v>20000</v>
      </c>
      <c r="I13" s="11" t="s">
        <v>122</v>
      </c>
      <c r="J13" s="5"/>
      <c r="K13" s="5"/>
      <c r="L13" s="5"/>
      <c r="M13" s="5"/>
      <c r="N13" s="5"/>
      <c r="O13" s="5"/>
    </row>
    <row r="14" spans="1:15" s="1" customFormat="1" x14ac:dyDescent="0.25">
      <c r="A14" s="11" t="s">
        <v>7</v>
      </c>
      <c r="B14" s="5" t="s">
        <v>98</v>
      </c>
      <c r="C14" s="11" t="s">
        <v>97</v>
      </c>
      <c r="D14" s="6" t="s">
        <v>33</v>
      </c>
      <c r="E14" s="5">
        <f>200+100+100</f>
        <v>400</v>
      </c>
      <c r="F14" s="14">
        <v>43.49</v>
      </c>
      <c r="G14" s="34"/>
      <c r="H14" s="33">
        <f t="shared" si="1"/>
        <v>17396</v>
      </c>
      <c r="I14" s="14" t="s">
        <v>115</v>
      </c>
      <c r="J14" s="5"/>
      <c r="K14" s="5"/>
      <c r="L14" s="5"/>
      <c r="M14" s="5"/>
      <c r="N14" s="5"/>
      <c r="O14" s="5"/>
    </row>
    <row r="15" spans="1:15" s="1" customFormat="1" x14ac:dyDescent="0.25">
      <c r="A15" s="11" t="s">
        <v>7</v>
      </c>
      <c r="B15" s="11" t="s">
        <v>154</v>
      </c>
      <c r="C15" s="11" t="s">
        <v>62</v>
      </c>
      <c r="D15" s="11" t="s">
        <v>102</v>
      </c>
      <c r="E15" s="6">
        <v>1197000</v>
      </c>
      <c r="F15" s="14">
        <v>0.04</v>
      </c>
      <c r="G15" s="5"/>
      <c r="H15" s="5">
        <f t="shared" si="1"/>
        <v>47880</v>
      </c>
      <c r="I15" s="11" t="s">
        <v>155</v>
      </c>
      <c r="J15" s="5"/>
      <c r="K15" s="5"/>
      <c r="L15" s="5"/>
      <c r="M15" s="5"/>
      <c r="N15" s="5"/>
      <c r="O15" s="5"/>
    </row>
    <row r="16" spans="1:15" x14ac:dyDescent="0.25">
      <c r="A16" s="5"/>
      <c r="B16" s="5"/>
      <c r="C16" s="5"/>
      <c r="D16" s="5"/>
      <c r="E16" s="5"/>
      <c r="F16" s="13" t="s">
        <v>4</v>
      </c>
      <c r="G16" s="18">
        <f>SUM(G4:G13)</f>
        <v>54281.25</v>
      </c>
      <c r="H16" s="18">
        <f>SUM(H4:H13)</f>
        <v>101362.5</v>
      </c>
      <c r="I16" s="5"/>
      <c r="J16" s="5"/>
      <c r="K16" s="5"/>
      <c r="L16" s="5"/>
      <c r="M16" s="5"/>
      <c r="N16" s="5"/>
      <c r="O16" s="5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5"/>
      <c r="B18" s="5"/>
      <c r="C18" s="5"/>
      <c r="D18" s="5"/>
      <c r="E18" s="5" t="s">
        <v>39</v>
      </c>
      <c r="F18" s="5"/>
      <c r="G18" s="18">
        <f>G16+H16</f>
        <v>155643.75</v>
      </c>
      <c r="H18" s="5"/>
      <c r="I18" s="5"/>
      <c r="J18" s="5"/>
      <c r="K18" s="5"/>
      <c r="L18" s="5"/>
      <c r="M18" s="5"/>
      <c r="N18" s="5"/>
      <c r="O18" s="5"/>
    </row>
    <row r="21" spans="1:15" x14ac:dyDescent="0.25">
      <c r="A21" s="21" t="s">
        <v>133</v>
      </c>
    </row>
    <row r="22" spans="1:15" x14ac:dyDescent="0.25">
      <c r="A22" s="22" t="s">
        <v>156</v>
      </c>
    </row>
    <row r="23" spans="1:15" x14ac:dyDescent="0.25">
      <c r="A23" s="22" t="s">
        <v>157</v>
      </c>
    </row>
    <row r="24" spans="1:15" x14ac:dyDescent="0.25">
      <c r="A24" t="s">
        <v>158</v>
      </c>
    </row>
    <row r="25" spans="1:15" x14ac:dyDescent="0.25">
      <c r="A25" t="s">
        <v>159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3" workbookViewId="0">
      <selection activeCell="G3" sqref="G3"/>
    </sheetView>
  </sheetViews>
  <sheetFormatPr defaultRowHeight="15" x14ac:dyDescent="0.25"/>
  <cols>
    <col min="1" max="1" width="9.7109375" bestFit="1" customWidth="1"/>
    <col min="2" max="2" width="21.7109375" bestFit="1" customWidth="1"/>
    <col min="3" max="3" width="22.85546875" bestFit="1" customWidth="1"/>
    <col min="4" max="4" width="42.140625" bestFit="1" customWidth="1"/>
    <col min="5" max="5" width="17.85546875" bestFit="1" customWidth="1"/>
    <col min="6" max="6" width="15.42578125" bestFit="1" customWidth="1"/>
    <col min="7" max="7" width="19" bestFit="1" customWidth="1"/>
    <col min="8" max="8" width="12.140625" bestFit="1" customWidth="1"/>
    <col min="9" max="9" width="106.7109375" bestFit="1" customWidth="1"/>
  </cols>
  <sheetData>
    <row r="1" spans="1:10" x14ac:dyDescent="0.25">
      <c r="A1" s="5"/>
      <c r="B1" s="5"/>
      <c r="C1" s="5" t="s">
        <v>200</v>
      </c>
      <c r="D1" s="5"/>
      <c r="E1" s="5"/>
      <c r="F1" s="5"/>
      <c r="G1" s="5"/>
      <c r="H1" s="5"/>
      <c r="I1" s="5"/>
    </row>
    <row r="2" spans="1:10" x14ac:dyDescent="0.25">
      <c r="A2" s="5"/>
      <c r="B2" s="5"/>
      <c r="C2" s="5"/>
      <c r="D2" s="5"/>
      <c r="E2" s="5"/>
      <c r="F2" s="5"/>
      <c r="G2" s="12"/>
      <c r="H2" s="12"/>
      <c r="I2" s="13" t="s">
        <v>3</v>
      </c>
    </row>
    <row r="3" spans="1:10" x14ac:dyDescent="0.25">
      <c r="A3" s="13" t="s">
        <v>5</v>
      </c>
      <c r="B3" s="13" t="s">
        <v>9</v>
      </c>
      <c r="C3" s="13" t="s">
        <v>0</v>
      </c>
      <c r="D3" s="13" t="s">
        <v>1</v>
      </c>
      <c r="E3" s="13" t="s">
        <v>2</v>
      </c>
      <c r="F3" s="13" t="s">
        <v>86</v>
      </c>
      <c r="G3" s="13" t="s">
        <v>103</v>
      </c>
      <c r="H3" s="13" t="s">
        <v>106</v>
      </c>
      <c r="I3" s="5"/>
    </row>
    <row r="4" spans="1:10" x14ac:dyDescent="0.25">
      <c r="A4" s="5"/>
      <c r="B4" s="5"/>
      <c r="C4" s="11"/>
      <c r="D4" s="6"/>
      <c r="E4" s="11"/>
      <c r="F4" s="9"/>
      <c r="G4" s="14"/>
      <c r="H4" s="14"/>
      <c r="I4" s="5"/>
    </row>
    <row r="5" spans="1:10" x14ac:dyDescent="0.25">
      <c r="A5" s="5" t="s">
        <v>6</v>
      </c>
      <c r="B5" s="5" t="s">
        <v>12</v>
      </c>
      <c r="C5" s="11" t="s">
        <v>13</v>
      </c>
      <c r="D5" s="6" t="s">
        <v>14</v>
      </c>
      <c r="E5" s="5">
        <v>50</v>
      </c>
      <c r="F5" s="14">
        <v>72.87</v>
      </c>
      <c r="G5" s="33">
        <f t="shared" ref="G5:G16" si="0">E5*F5</f>
        <v>3643.5</v>
      </c>
      <c r="H5" s="34"/>
      <c r="I5" s="5" t="s">
        <v>96</v>
      </c>
    </row>
    <row r="6" spans="1:10" x14ac:dyDescent="0.25">
      <c r="A6" s="5" t="s">
        <v>7</v>
      </c>
      <c r="B6" s="5" t="s">
        <v>16</v>
      </c>
      <c r="C6" s="11" t="s">
        <v>20</v>
      </c>
      <c r="D6" s="6" t="s">
        <v>21</v>
      </c>
      <c r="E6" s="5">
        <v>50</v>
      </c>
      <c r="F6" s="9">
        <v>91.18</v>
      </c>
      <c r="G6" s="33">
        <f t="shared" si="0"/>
        <v>4559</v>
      </c>
      <c r="H6" s="34"/>
      <c r="I6" s="5" t="s">
        <v>22</v>
      </c>
    </row>
    <row r="7" spans="1:10" s="1" customFormat="1" x14ac:dyDescent="0.25">
      <c r="A7" s="5" t="s">
        <v>7</v>
      </c>
      <c r="B7" s="5" t="s">
        <v>16</v>
      </c>
      <c r="C7" s="11" t="s">
        <v>20</v>
      </c>
      <c r="D7" s="23" t="s">
        <v>167</v>
      </c>
      <c r="E7" s="5">
        <v>25</v>
      </c>
      <c r="F7" s="9">
        <v>287.25</v>
      </c>
      <c r="G7" s="33">
        <f t="shared" si="0"/>
        <v>7181.25</v>
      </c>
      <c r="H7" s="34"/>
      <c r="I7" s="5" t="s">
        <v>187</v>
      </c>
    </row>
    <row r="8" spans="1:10" s="1" customFormat="1" x14ac:dyDescent="0.25">
      <c r="A8" s="5" t="s">
        <v>7</v>
      </c>
      <c r="B8" s="5" t="s">
        <v>16</v>
      </c>
      <c r="C8" s="11" t="s">
        <v>20</v>
      </c>
      <c r="D8" s="23" t="s">
        <v>168</v>
      </c>
      <c r="E8" s="5">
        <v>320</v>
      </c>
      <c r="F8" s="9">
        <v>79.98</v>
      </c>
      <c r="G8" s="33">
        <f t="shared" si="0"/>
        <v>25593.600000000002</v>
      </c>
      <c r="H8" s="34"/>
      <c r="I8" s="5" t="s">
        <v>188</v>
      </c>
    </row>
    <row r="9" spans="1:10" s="1" customFormat="1" x14ac:dyDescent="0.25">
      <c r="A9" s="5" t="s">
        <v>7</v>
      </c>
      <c r="B9" s="5" t="s">
        <v>16</v>
      </c>
      <c r="C9" s="5" t="s">
        <v>23</v>
      </c>
      <c r="D9" s="6" t="s">
        <v>169</v>
      </c>
      <c r="E9" s="5">
        <v>90</v>
      </c>
      <c r="F9" s="9">
        <v>9.18</v>
      </c>
      <c r="G9" s="33">
        <f t="shared" si="0"/>
        <v>826.19999999999993</v>
      </c>
      <c r="H9" s="33"/>
      <c r="I9" s="5" t="s">
        <v>24</v>
      </c>
      <c r="J9" s="5"/>
    </row>
    <row r="10" spans="1:10" s="1" customFormat="1" x14ac:dyDescent="0.25">
      <c r="A10" s="5" t="s">
        <v>7</v>
      </c>
      <c r="B10" s="5" t="s">
        <v>16</v>
      </c>
      <c r="C10" s="5" t="s">
        <v>23</v>
      </c>
      <c r="D10" s="6" t="s">
        <v>25</v>
      </c>
      <c r="E10" s="5">
        <v>370</v>
      </c>
      <c r="F10" s="9">
        <v>11.48</v>
      </c>
      <c r="G10" s="33">
        <f t="shared" si="0"/>
        <v>4247.6000000000004</v>
      </c>
      <c r="H10" s="33"/>
      <c r="I10" s="5" t="s">
        <v>24</v>
      </c>
      <c r="J10" s="5"/>
    </row>
    <row r="11" spans="1:10" s="1" customFormat="1" x14ac:dyDescent="0.25">
      <c r="A11" s="5" t="s">
        <v>7</v>
      </c>
      <c r="B11" s="5" t="s">
        <v>16</v>
      </c>
      <c r="C11" s="5" t="s">
        <v>23</v>
      </c>
      <c r="D11" s="6" t="s">
        <v>37</v>
      </c>
      <c r="E11" s="5">
        <v>30</v>
      </c>
      <c r="F11" s="9">
        <v>28.69</v>
      </c>
      <c r="G11" s="33">
        <f t="shared" si="0"/>
        <v>860.7</v>
      </c>
      <c r="H11" s="33"/>
      <c r="I11" s="5" t="s">
        <v>24</v>
      </c>
      <c r="J11" s="5"/>
    </row>
    <row r="12" spans="1:10" x14ac:dyDescent="0.25">
      <c r="A12" s="5" t="s">
        <v>7</v>
      </c>
      <c r="B12" s="5" t="s">
        <v>170</v>
      </c>
      <c r="C12" s="15" t="s">
        <v>172</v>
      </c>
      <c r="D12" s="23" t="s">
        <v>171</v>
      </c>
      <c r="E12" s="5">
        <v>3010</v>
      </c>
      <c r="F12" s="9">
        <v>21.98</v>
      </c>
      <c r="G12" s="33">
        <f t="shared" si="0"/>
        <v>66159.8</v>
      </c>
      <c r="H12" s="33"/>
      <c r="I12" s="26" t="s">
        <v>173</v>
      </c>
    </row>
    <row r="13" spans="1:10" s="1" customFormat="1" x14ac:dyDescent="0.25">
      <c r="A13" s="5" t="s">
        <v>7</v>
      </c>
      <c r="B13" s="5" t="s">
        <v>181</v>
      </c>
      <c r="C13" s="15" t="s">
        <v>182</v>
      </c>
      <c r="D13" s="24" t="s">
        <v>183</v>
      </c>
      <c r="E13" s="5">
        <v>1840</v>
      </c>
      <c r="F13" s="9">
        <v>21.8</v>
      </c>
      <c r="G13" s="33">
        <f t="shared" si="0"/>
        <v>40112</v>
      </c>
      <c r="H13" s="33"/>
      <c r="I13" s="1" t="s">
        <v>186</v>
      </c>
    </row>
    <row r="14" spans="1:10" s="1" customFormat="1" x14ac:dyDescent="0.25">
      <c r="A14" s="5" t="s">
        <v>7</v>
      </c>
      <c r="B14" s="5" t="s">
        <v>184</v>
      </c>
      <c r="C14" s="15" t="s">
        <v>185</v>
      </c>
      <c r="D14" s="24" t="s">
        <v>27</v>
      </c>
      <c r="E14" s="5">
        <v>3500</v>
      </c>
      <c r="F14" s="9">
        <v>6.08</v>
      </c>
      <c r="G14" s="33">
        <f t="shared" si="0"/>
        <v>21280</v>
      </c>
      <c r="H14" s="33"/>
      <c r="I14" s="5" t="s">
        <v>28</v>
      </c>
    </row>
    <row r="15" spans="1:10" s="1" customFormat="1" x14ac:dyDescent="0.25">
      <c r="A15" s="5" t="s">
        <v>7</v>
      </c>
      <c r="B15" s="5" t="s">
        <v>85</v>
      </c>
      <c r="C15" s="15" t="s">
        <v>178</v>
      </c>
      <c r="D15" s="24" t="s">
        <v>179</v>
      </c>
      <c r="E15" s="5">
        <v>400</v>
      </c>
      <c r="F15" s="9">
        <v>4.75</v>
      </c>
      <c r="G15" s="33">
        <f t="shared" si="0"/>
        <v>1900</v>
      </c>
      <c r="H15" s="33"/>
      <c r="I15" s="11" t="s">
        <v>180</v>
      </c>
    </row>
    <row r="16" spans="1:10" x14ac:dyDescent="0.25">
      <c r="A16" s="5" t="s">
        <v>7</v>
      </c>
      <c r="B16" s="1" t="s">
        <v>174</v>
      </c>
      <c r="C16" s="15" t="s">
        <v>175</v>
      </c>
      <c r="D16" s="24" t="s">
        <v>176</v>
      </c>
      <c r="E16" s="5">
        <v>5800</v>
      </c>
      <c r="F16" s="9">
        <v>16.64</v>
      </c>
      <c r="G16" s="35">
        <f t="shared" si="0"/>
        <v>96512</v>
      </c>
      <c r="H16" s="33"/>
      <c r="I16" s="1" t="s">
        <v>177</v>
      </c>
    </row>
    <row r="17" spans="1:9" x14ac:dyDescent="0.25">
      <c r="A17" s="16"/>
      <c r="B17" s="16"/>
      <c r="C17" s="16"/>
      <c r="D17" s="16"/>
      <c r="E17" s="16"/>
      <c r="F17" s="17"/>
      <c r="G17" s="36"/>
      <c r="H17" s="36"/>
      <c r="I17" s="17"/>
    </row>
    <row r="18" spans="1:9" x14ac:dyDescent="0.25">
      <c r="A18" s="5" t="s">
        <v>7</v>
      </c>
      <c r="B18" s="5" t="s">
        <v>108</v>
      </c>
      <c r="C18" s="5" t="s">
        <v>111</v>
      </c>
      <c r="D18" s="6" t="s">
        <v>112</v>
      </c>
      <c r="E18" s="11">
        <v>200</v>
      </c>
      <c r="F18" s="14">
        <v>11.48</v>
      </c>
      <c r="G18" s="34"/>
      <c r="H18" s="33">
        <f t="shared" ref="H18" si="1">E18*F18</f>
        <v>2296</v>
      </c>
      <c r="I18" s="5" t="s">
        <v>114</v>
      </c>
    </row>
    <row r="19" spans="1:9" x14ac:dyDescent="0.25">
      <c r="A19" s="11" t="s">
        <v>6</v>
      </c>
      <c r="B19" s="5" t="s">
        <v>98</v>
      </c>
      <c r="C19" s="11" t="s">
        <v>63</v>
      </c>
      <c r="D19" s="5" t="s">
        <v>102</v>
      </c>
      <c r="E19" s="6">
        <v>45000</v>
      </c>
      <c r="F19" s="14">
        <v>1.1000000000000001</v>
      </c>
      <c r="G19" s="34"/>
      <c r="H19" s="33">
        <f t="shared" ref="H19:H20" si="2">E19*F19</f>
        <v>49500.000000000007</v>
      </c>
      <c r="I19" s="11" t="s">
        <v>105</v>
      </c>
    </row>
    <row r="20" spans="1:9" x14ac:dyDescent="0.25">
      <c r="A20" s="5" t="s">
        <v>7</v>
      </c>
      <c r="B20" s="5" t="s">
        <v>108</v>
      </c>
      <c r="C20" s="5" t="s">
        <v>109</v>
      </c>
      <c r="D20" s="6" t="s">
        <v>110</v>
      </c>
      <c r="E20" s="11">
        <v>14700</v>
      </c>
      <c r="F20" s="14">
        <v>3.5</v>
      </c>
      <c r="G20" s="34"/>
      <c r="H20" s="33">
        <f t="shared" si="2"/>
        <v>51450</v>
      </c>
      <c r="I20" s="5" t="s">
        <v>113</v>
      </c>
    </row>
    <row r="21" spans="1:9" s="1" customFormat="1" x14ac:dyDescent="0.25">
      <c r="A21" s="5" t="s">
        <v>7</v>
      </c>
      <c r="B21" s="5" t="s">
        <v>192</v>
      </c>
      <c r="C21" s="15" t="s">
        <v>193</v>
      </c>
      <c r="D21" s="38" t="s">
        <v>194</v>
      </c>
      <c r="E21" s="5">
        <v>350</v>
      </c>
      <c r="F21" s="9">
        <v>6.5</v>
      </c>
      <c r="G21" s="37"/>
      <c r="H21" s="33">
        <f>E21*F21</f>
        <v>2275</v>
      </c>
      <c r="I21" s="11" t="s">
        <v>195</v>
      </c>
    </row>
    <row r="22" spans="1:9" x14ac:dyDescent="0.25">
      <c r="A22" s="11" t="s">
        <v>7</v>
      </c>
      <c r="B22" s="5" t="s">
        <v>189</v>
      </c>
      <c r="C22" s="15" t="s">
        <v>190</v>
      </c>
      <c r="D22" s="24" t="s">
        <v>171</v>
      </c>
      <c r="E22" s="24">
        <v>2795</v>
      </c>
      <c r="F22" s="9">
        <v>6.13</v>
      </c>
      <c r="G22" s="37"/>
      <c r="H22" s="35">
        <f>E22*F22</f>
        <v>17133.349999999999</v>
      </c>
      <c r="I22" s="26" t="s">
        <v>191</v>
      </c>
    </row>
    <row r="23" spans="1:9" x14ac:dyDescent="0.25">
      <c r="A23" s="5"/>
      <c r="B23" s="5"/>
      <c r="C23" s="5"/>
      <c r="D23" s="5"/>
      <c r="E23" s="5"/>
      <c r="F23" s="13" t="s">
        <v>4</v>
      </c>
      <c r="G23" s="32">
        <f>SUM(G4:G22)</f>
        <v>272875.65000000002</v>
      </c>
      <c r="H23" s="32">
        <f>SUM(H4:H22)</f>
        <v>122654.35</v>
      </c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 t="s">
        <v>39</v>
      </c>
      <c r="F25" s="5"/>
      <c r="G25" s="32">
        <f>G23+H23</f>
        <v>395530</v>
      </c>
      <c r="H25" s="5"/>
      <c r="I25" s="5"/>
    </row>
    <row r="27" spans="1:9" x14ac:dyDescent="0.25">
      <c r="B27" t="s">
        <v>196</v>
      </c>
    </row>
    <row r="28" spans="1:9" x14ac:dyDescent="0.25">
      <c r="B28" t="s">
        <v>197</v>
      </c>
    </row>
    <row r="29" spans="1:9" x14ac:dyDescent="0.25">
      <c r="B29" t="s">
        <v>198</v>
      </c>
    </row>
    <row r="30" spans="1:9" x14ac:dyDescent="0.25">
      <c r="B30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C26" sqref="C26"/>
    </sheetView>
  </sheetViews>
  <sheetFormatPr defaultRowHeight="15" x14ac:dyDescent="0.25"/>
  <cols>
    <col min="1" max="1" width="21.7109375" bestFit="1" customWidth="1"/>
    <col min="2" max="2" width="24.28515625" bestFit="1" customWidth="1"/>
    <col min="3" max="3" width="34.28515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172.28515625" bestFit="1" customWidth="1"/>
  </cols>
  <sheetData>
    <row r="1" spans="1:8" x14ac:dyDescent="0.25">
      <c r="A1" s="5"/>
      <c r="B1" s="5" t="s">
        <v>201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/>
      <c r="B4" s="11"/>
      <c r="C4" s="6"/>
      <c r="D4" s="11"/>
      <c r="E4" s="9"/>
      <c r="F4" s="14"/>
      <c r="G4" s="14"/>
      <c r="H4" s="5"/>
    </row>
    <row r="5" spans="1:8" x14ac:dyDescent="0.25">
      <c r="A5" s="5" t="s">
        <v>16</v>
      </c>
      <c r="B5" s="11" t="s">
        <v>17</v>
      </c>
      <c r="C5" s="24" t="s">
        <v>18</v>
      </c>
      <c r="D5" s="11">
        <v>1000</v>
      </c>
      <c r="E5" s="9">
        <v>17.21</v>
      </c>
      <c r="F5" s="14">
        <f t="shared" ref="F5" si="0">D5*E5</f>
        <v>17210</v>
      </c>
      <c r="G5" s="14"/>
      <c r="H5" s="5" t="s">
        <v>118</v>
      </c>
    </row>
    <row r="6" spans="1:8" x14ac:dyDescent="0.25">
      <c r="A6" s="5" t="s">
        <v>16</v>
      </c>
      <c r="B6" s="11" t="s">
        <v>20</v>
      </c>
      <c r="C6" s="24" t="s">
        <v>21</v>
      </c>
      <c r="D6" s="5">
        <v>375</v>
      </c>
      <c r="E6" s="9">
        <v>91.18</v>
      </c>
      <c r="F6" s="33">
        <f t="shared" ref="F6:F13" si="1">D6*E6</f>
        <v>34192.5</v>
      </c>
      <c r="G6" s="34"/>
      <c r="H6" s="5" t="s">
        <v>22</v>
      </c>
    </row>
    <row r="7" spans="1:8" x14ac:dyDescent="0.25">
      <c r="A7" s="5" t="s">
        <v>16</v>
      </c>
      <c r="B7" s="11" t="s">
        <v>20</v>
      </c>
      <c r="C7" s="24" t="s">
        <v>167</v>
      </c>
      <c r="D7" s="5">
        <v>25</v>
      </c>
      <c r="E7" s="9">
        <v>287.25</v>
      </c>
      <c r="F7" s="33">
        <f t="shared" si="1"/>
        <v>7181.25</v>
      </c>
      <c r="G7" s="34"/>
      <c r="H7" s="5" t="s">
        <v>187</v>
      </c>
    </row>
    <row r="8" spans="1:8" x14ac:dyDescent="0.25">
      <c r="A8" s="5" t="s">
        <v>16</v>
      </c>
      <c r="B8" s="11" t="s">
        <v>20</v>
      </c>
      <c r="C8" s="24" t="s">
        <v>168</v>
      </c>
      <c r="D8" s="5">
        <v>800</v>
      </c>
      <c r="E8" s="9">
        <v>79.98</v>
      </c>
      <c r="F8" s="33">
        <f t="shared" si="1"/>
        <v>63984</v>
      </c>
      <c r="G8" s="34"/>
      <c r="H8" s="5" t="s">
        <v>188</v>
      </c>
    </row>
    <row r="9" spans="1:8" x14ac:dyDescent="0.25">
      <c r="A9" s="5" t="s">
        <v>16</v>
      </c>
      <c r="B9" s="5" t="s">
        <v>23</v>
      </c>
      <c r="C9" s="24" t="s">
        <v>25</v>
      </c>
      <c r="D9" s="5">
        <v>1210</v>
      </c>
      <c r="E9" s="9">
        <v>11.48</v>
      </c>
      <c r="F9" s="33">
        <f t="shared" si="1"/>
        <v>13890.800000000001</v>
      </c>
      <c r="G9" s="33"/>
      <c r="H9" s="5" t="s">
        <v>24</v>
      </c>
    </row>
    <row r="10" spans="1:8" x14ac:dyDescent="0.25">
      <c r="A10" s="5" t="s">
        <v>16</v>
      </c>
      <c r="B10" s="5" t="s">
        <v>23</v>
      </c>
      <c r="C10" s="24" t="s">
        <v>37</v>
      </c>
      <c r="D10" s="5">
        <v>30</v>
      </c>
      <c r="E10" s="9">
        <v>28.69</v>
      </c>
      <c r="F10" s="33">
        <f t="shared" si="1"/>
        <v>860.7</v>
      </c>
      <c r="G10" s="33"/>
      <c r="H10" s="5" t="s">
        <v>24</v>
      </c>
    </row>
    <row r="11" spans="1:8" s="1" customFormat="1" x14ac:dyDescent="0.25">
      <c r="A11" s="5" t="s">
        <v>16</v>
      </c>
      <c r="B11" s="5" t="s">
        <v>23</v>
      </c>
      <c r="C11" s="24" t="s">
        <v>202</v>
      </c>
      <c r="D11" s="5">
        <v>90</v>
      </c>
      <c r="E11" s="9">
        <v>11.48</v>
      </c>
      <c r="F11" s="33">
        <f t="shared" ref="F11" si="2">D11*E11</f>
        <v>1033.2</v>
      </c>
      <c r="G11" s="33"/>
      <c r="H11" s="5" t="s">
        <v>24</v>
      </c>
    </row>
    <row r="12" spans="1:8" x14ac:dyDescent="0.25">
      <c r="A12" s="5" t="s">
        <v>181</v>
      </c>
      <c r="B12" s="15" t="s">
        <v>182</v>
      </c>
      <c r="C12" s="24" t="s">
        <v>183</v>
      </c>
      <c r="D12" s="5">
        <v>4140</v>
      </c>
      <c r="E12" s="9">
        <v>18.36</v>
      </c>
      <c r="F12" s="33">
        <f t="shared" si="1"/>
        <v>76010.399999999994</v>
      </c>
      <c r="G12" s="33"/>
      <c r="H12" s="1" t="s">
        <v>203</v>
      </c>
    </row>
    <row r="13" spans="1:8" x14ac:dyDescent="0.25">
      <c r="A13" s="5" t="s">
        <v>184</v>
      </c>
      <c r="B13" s="15" t="s">
        <v>185</v>
      </c>
      <c r="C13" s="24" t="s">
        <v>27</v>
      </c>
      <c r="D13" s="5">
        <v>3500</v>
      </c>
      <c r="E13" s="9">
        <v>6.08</v>
      </c>
      <c r="F13" s="33">
        <f t="shared" si="1"/>
        <v>21280</v>
      </c>
      <c r="G13" s="33"/>
      <c r="H13" s="5" t="s">
        <v>28</v>
      </c>
    </row>
    <row r="14" spans="1:8" x14ac:dyDescent="0.25">
      <c r="A14" s="16"/>
      <c r="B14" s="16"/>
      <c r="C14" s="16"/>
      <c r="D14" s="16"/>
      <c r="E14" s="17"/>
      <c r="F14" s="36"/>
      <c r="G14" s="36"/>
      <c r="H14" s="17"/>
    </row>
    <row r="15" spans="1:8" x14ac:dyDescent="0.25">
      <c r="A15" s="5" t="s">
        <v>108</v>
      </c>
      <c r="B15" s="5" t="s">
        <v>111</v>
      </c>
      <c r="C15" s="24" t="s">
        <v>112</v>
      </c>
      <c r="D15" s="11">
        <v>1200</v>
      </c>
      <c r="E15" s="14">
        <v>11.48</v>
      </c>
      <c r="F15" s="34"/>
      <c r="G15" s="33">
        <f t="shared" ref="G15:G17" si="3">D15*E15</f>
        <v>13776</v>
      </c>
      <c r="H15" s="5" t="s">
        <v>114</v>
      </c>
    </row>
    <row r="16" spans="1:8" x14ac:dyDescent="0.25">
      <c r="A16" s="5" t="s">
        <v>98</v>
      </c>
      <c r="B16" s="11" t="s">
        <v>63</v>
      </c>
      <c r="C16" s="24" t="s">
        <v>102</v>
      </c>
      <c r="D16" s="6">
        <v>95000</v>
      </c>
      <c r="E16" s="14">
        <v>1.1000000000000001</v>
      </c>
      <c r="F16" s="34"/>
      <c r="G16" s="33">
        <f t="shared" si="3"/>
        <v>104500.00000000001</v>
      </c>
      <c r="H16" s="11" t="s">
        <v>105</v>
      </c>
    </row>
    <row r="17" spans="1:8" x14ac:dyDescent="0.25">
      <c r="A17" s="5" t="s">
        <v>108</v>
      </c>
      <c r="B17" s="5" t="s">
        <v>109</v>
      </c>
      <c r="C17" s="24" t="s">
        <v>110</v>
      </c>
      <c r="D17" s="11">
        <v>10500</v>
      </c>
      <c r="E17" s="14">
        <v>4.07</v>
      </c>
      <c r="F17" s="34"/>
      <c r="G17" s="33">
        <f t="shared" si="3"/>
        <v>42735</v>
      </c>
      <c r="H17" s="5" t="s">
        <v>113</v>
      </c>
    </row>
    <row r="18" spans="1:8" x14ac:dyDescent="0.25">
      <c r="A18" s="39" t="s">
        <v>192</v>
      </c>
      <c r="B18" s="40" t="s">
        <v>193</v>
      </c>
      <c r="C18" s="39" t="s">
        <v>194</v>
      </c>
      <c r="D18" s="39">
        <v>560</v>
      </c>
      <c r="E18" s="41">
        <v>6.5</v>
      </c>
      <c r="F18" s="42"/>
      <c r="G18" s="43">
        <f>D18*E18</f>
        <v>3640</v>
      </c>
      <c r="H18" s="46" t="s">
        <v>195</v>
      </c>
    </row>
    <row r="19" spans="1:8" s="1" customFormat="1" x14ac:dyDescent="0.25">
      <c r="A19" s="5" t="s">
        <v>189</v>
      </c>
      <c r="B19" s="15" t="s">
        <v>190</v>
      </c>
      <c r="C19" s="24" t="s">
        <v>171</v>
      </c>
      <c r="D19" s="24">
        <v>215</v>
      </c>
      <c r="E19" s="9">
        <v>6.13</v>
      </c>
      <c r="F19" s="37"/>
      <c r="G19" s="35">
        <f>D19*E19</f>
        <v>1317.95</v>
      </c>
      <c r="H19" s="26" t="s">
        <v>191</v>
      </c>
    </row>
    <row r="20" spans="1:8" x14ac:dyDescent="0.25">
      <c r="A20" s="5" t="s">
        <v>189</v>
      </c>
      <c r="B20" s="15" t="s">
        <v>190</v>
      </c>
      <c r="C20" s="24" t="s">
        <v>171</v>
      </c>
      <c r="D20" s="24">
        <v>4085</v>
      </c>
      <c r="E20" s="9">
        <v>7.65</v>
      </c>
      <c r="F20" s="37"/>
      <c r="G20" s="35">
        <f>D20*E20</f>
        <v>31250.25</v>
      </c>
      <c r="H20" s="26" t="s">
        <v>207</v>
      </c>
    </row>
    <row r="21" spans="1:8" s="1" customFormat="1" ht="21" customHeight="1" x14ac:dyDescent="0.25">
      <c r="A21" s="39" t="s">
        <v>209</v>
      </c>
      <c r="B21" s="40" t="s">
        <v>212</v>
      </c>
      <c r="C21" s="39" t="s">
        <v>213</v>
      </c>
      <c r="D21" s="40">
        <v>320</v>
      </c>
      <c r="E21" s="41">
        <v>2.87</v>
      </c>
      <c r="F21" s="42"/>
      <c r="G21" s="43">
        <f t="shared" ref="G21:G26" si="4">D21*E21</f>
        <v>918.40000000000009</v>
      </c>
      <c r="H21" s="44" t="s">
        <v>214</v>
      </c>
    </row>
    <row r="22" spans="1:8" s="1" customFormat="1" x14ac:dyDescent="0.25">
      <c r="A22" s="5" t="s">
        <v>218</v>
      </c>
      <c r="B22" s="5" t="s">
        <v>210</v>
      </c>
      <c r="C22" s="24" t="s">
        <v>220</v>
      </c>
      <c r="D22" s="45">
        <v>100</v>
      </c>
      <c r="E22" s="9">
        <v>312.12</v>
      </c>
      <c r="F22" s="37"/>
      <c r="G22" s="35">
        <f t="shared" si="4"/>
        <v>31212</v>
      </c>
      <c r="H22" s="26" t="s">
        <v>221</v>
      </c>
    </row>
    <row r="23" spans="1:8" s="1" customFormat="1" x14ac:dyDescent="0.25">
      <c r="A23" s="5" t="s">
        <v>222</v>
      </c>
      <c r="B23" s="15" t="s">
        <v>219</v>
      </c>
      <c r="C23" s="24" t="s">
        <v>223</v>
      </c>
      <c r="D23" s="45">
        <v>250</v>
      </c>
      <c r="E23" s="9">
        <v>286.62</v>
      </c>
      <c r="F23" s="37"/>
      <c r="G23" s="35">
        <f t="shared" si="4"/>
        <v>71655</v>
      </c>
      <c r="H23" s="26" t="s">
        <v>224</v>
      </c>
    </row>
    <row r="24" spans="1:8" s="1" customFormat="1" x14ac:dyDescent="0.25">
      <c r="A24" s="5" t="s">
        <v>222</v>
      </c>
      <c r="B24" s="15" t="s">
        <v>219</v>
      </c>
      <c r="C24" s="24" t="s">
        <v>225</v>
      </c>
      <c r="D24" s="45">
        <v>200</v>
      </c>
      <c r="E24" s="9">
        <v>312.12</v>
      </c>
      <c r="F24" s="37"/>
      <c r="G24" s="35">
        <f t="shared" si="4"/>
        <v>62424</v>
      </c>
      <c r="H24" s="26" t="s">
        <v>226</v>
      </c>
    </row>
    <row r="25" spans="1:8" s="1" customFormat="1" x14ac:dyDescent="0.25">
      <c r="A25" s="48" t="s">
        <v>227</v>
      </c>
      <c r="B25" s="49" t="s">
        <v>10</v>
      </c>
      <c r="C25" s="50" t="s">
        <v>228</v>
      </c>
      <c r="D25" s="50">
        <v>2400</v>
      </c>
      <c r="E25" s="51">
        <v>14.92</v>
      </c>
      <c r="F25" s="52"/>
      <c r="G25" s="52">
        <f t="shared" si="4"/>
        <v>35808</v>
      </c>
      <c r="H25" s="53" t="s">
        <v>229</v>
      </c>
    </row>
    <row r="26" spans="1:8" s="1" customFormat="1" x14ac:dyDescent="0.25">
      <c r="A26" s="5" t="s">
        <v>241</v>
      </c>
      <c r="B26" s="5"/>
      <c r="D26" s="24">
        <v>200000</v>
      </c>
      <c r="E26" s="24">
        <v>2</v>
      </c>
      <c r="F26" s="24"/>
      <c r="G26" s="24">
        <f t="shared" si="4"/>
        <v>400000</v>
      </c>
      <c r="H26" s="24"/>
    </row>
    <row r="27" spans="1:8" s="1" customFormat="1" x14ac:dyDescent="0.25">
      <c r="A27" s="5" t="s">
        <v>243</v>
      </c>
      <c r="B27" s="15"/>
      <c r="C27" s="24"/>
      <c r="D27" s="24"/>
      <c r="E27" s="9"/>
      <c r="F27" s="37"/>
      <c r="G27" s="35">
        <v>1500</v>
      </c>
      <c r="H27" s="26"/>
    </row>
    <row r="28" spans="1:8" x14ac:dyDescent="0.25">
      <c r="A28" s="5"/>
      <c r="B28" s="5"/>
      <c r="C28" s="5"/>
      <c r="D28" s="5"/>
      <c r="E28" s="13" t="s">
        <v>4</v>
      </c>
      <c r="F28" s="32">
        <f>SUM(F5:F27)</f>
        <v>235642.85</v>
      </c>
      <c r="G28" s="32">
        <f>SUM(G5:G27)</f>
        <v>800736.6</v>
      </c>
      <c r="H28" s="5"/>
    </row>
    <row r="30" spans="1:8" x14ac:dyDescent="0.25">
      <c r="G30" s="47">
        <f>F28+G28</f>
        <v>1036379.45</v>
      </c>
    </row>
    <row r="32" spans="1:8" s="1" customFormat="1" ht="45" x14ac:dyDescent="0.25">
      <c r="A32" s="49" t="s">
        <v>239</v>
      </c>
    </row>
    <row r="34" spans="1:2" x14ac:dyDescent="0.25">
      <c r="A34" s="20" t="s">
        <v>240</v>
      </c>
      <c r="B34" s="23"/>
    </row>
    <row r="35" spans="1:2" x14ac:dyDescent="0.25">
      <c r="A35" s="1" t="s">
        <v>233</v>
      </c>
      <c r="B35" s="23"/>
    </row>
    <row r="36" spans="1:2" x14ac:dyDescent="0.25">
      <c r="A36" s="23" t="s">
        <v>234</v>
      </c>
      <c r="B36" s="23"/>
    </row>
    <row r="37" spans="1:2" x14ac:dyDescent="0.25">
      <c r="A37" t="s">
        <v>235</v>
      </c>
    </row>
    <row r="38" spans="1:2" x14ac:dyDescent="0.25">
      <c r="A38" t="s">
        <v>236</v>
      </c>
    </row>
    <row r="39" spans="1:2" x14ac:dyDescent="0.25">
      <c r="A39" t="s">
        <v>242</v>
      </c>
    </row>
    <row r="40" spans="1:2" x14ac:dyDescent="0.25">
      <c r="A40" t="s">
        <v>237</v>
      </c>
    </row>
    <row r="41" spans="1:2" x14ac:dyDescent="0.25">
      <c r="A41" t="s">
        <v>238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G16" sqref="G16"/>
    </sheetView>
  </sheetViews>
  <sheetFormatPr defaultRowHeight="15" x14ac:dyDescent="0.25"/>
  <cols>
    <col min="1" max="1" width="35.42578125" style="1" customWidth="1"/>
    <col min="2" max="2" width="31.7109375" style="1" bestFit="1" customWidth="1"/>
    <col min="3" max="3" width="34.28515625" style="1" bestFit="1" customWidth="1"/>
    <col min="4" max="4" width="17.85546875" style="1" bestFit="1" customWidth="1"/>
    <col min="5" max="5" width="15.42578125" style="1" bestFit="1" customWidth="1"/>
    <col min="6" max="6" width="19" style="1" bestFit="1" customWidth="1"/>
    <col min="7" max="7" width="12.140625" style="1" bestFit="1" customWidth="1"/>
    <col min="8" max="8" width="172.28515625" style="1" bestFit="1" customWidth="1"/>
    <col min="9" max="16384" width="9.140625" style="1"/>
  </cols>
  <sheetData>
    <row r="1" spans="1:8" x14ac:dyDescent="0.25">
      <c r="A1" s="5"/>
      <c r="B1" s="5" t="s">
        <v>244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/>
      <c r="B4" s="11"/>
      <c r="C4" s="6"/>
      <c r="D4" s="11"/>
      <c r="E4" s="9"/>
      <c r="F4" s="14"/>
      <c r="G4" s="14"/>
      <c r="H4" s="5"/>
    </row>
    <row r="5" spans="1:8" x14ac:dyDescent="0.25">
      <c r="A5" s="5" t="s">
        <v>144</v>
      </c>
      <c r="B5" s="11" t="s">
        <v>145</v>
      </c>
      <c r="C5" s="6" t="s">
        <v>146</v>
      </c>
      <c r="D5" s="11">
        <v>500</v>
      </c>
      <c r="E5" s="14">
        <v>12.25</v>
      </c>
      <c r="F5" s="5"/>
      <c r="G5" s="5">
        <f t="shared" ref="G5:G6" si="0">D5*E5</f>
        <v>6125</v>
      </c>
      <c r="H5" s="5" t="s">
        <v>147</v>
      </c>
    </row>
    <row r="6" spans="1:8" x14ac:dyDescent="0.25">
      <c r="A6" s="5" t="s">
        <v>108</v>
      </c>
      <c r="B6" s="5" t="s">
        <v>109</v>
      </c>
      <c r="C6" s="45" t="s">
        <v>110</v>
      </c>
      <c r="D6" s="11">
        <v>10500</v>
      </c>
      <c r="E6" s="14">
        <v>4.57</v>
      </c>
      <c r="F6" s="34"/>
      <c r="G6" s="33">
        <f t="shared" si="0"/>
        <v>47985</v>
      </c>
      <c r="H6" s="5" t="s">
        <v>113</v>
      </c>
    </row>
    <row r="7" spans="1:8" x14ac:dyDescent="0.25">
      <c r="A7" s="11" t="s">
        <v>245</v>
      </c>
      <c r="B7" s="11" t="s">
        <v>246</v>
      </c>
      <c r="C7" s="45" t="s">
        <v>247</v>
      </c>
      <c r="D7" s="11">
        <v>8000</v>
      </c>
      <c r="E7" s="14">
        <v>5</v>
      </c>
      <c r="F7" s="42"/>
      <c r="G7" s="43">
        <f>D7*E7</f>
        <v>40000</v>
      </c>
      <c r="H7" s="46" t="s">
        <v>259</v>
      </c>
    </row>
    <row r="8" spans="1:8" x14ac:dyDescent="0.25">
      <c r="A8" s="5" t="s">
        <v>189</v>
      </c>
      <c r="B8" s="15" t="s">
        <v>190</v>
      </c>
      <c r="C8" s="45" t="s">
        <v>171</v>
      </c>
      <c r="D8" s="24">
        <f>2795+215</f>
        <v>3010</v>
      </c>
      <c r="E8" s="9">
        <v>6.12</v>
      </c>
      <c r="F8" s="37"/>
      <c r="G8" s="35">
        <f>D8*E8</f>
        <v>18421.2</v>
      </c>
      <c r="H8" s="26" t="s">
        <v>191</v>
      </c>
    </row>
    <row r="9" spans="1:8" ht="21" customHeight="1" x14ac:dyDescent="0.25">
      <c r="A9" s="39" t="s">
        <v>209</v>
      </c>
      <c r="B9" s="40" t="s">
        <v>212</v>
      </c>
      <c r="C9" s="39" t="s">
        <v>213</v>
      </c>
      <c r="D9" s="40">
        <v>960</v>
      </c>
      <c r="E9" s="41">
        <v>2.87</v>
      </c>
      <c r="F9" s="42"/>
      <c r="G9" s="43">
        <f t="shared" ref="G9:G13" si="1">D9*E9</f>
        <v>2755.2000000000003</v>
      </c>
      <c r="H9" s="44" t="s">
        <v>214</v>
      </c>
    </row>
    <row r="10" spans="1:8" x14ac:dyDescent="0.25">
      <c r="A10" s="11" t="s">
        <v>245</v>
      </c>
      <c r="B10" s="11" t="s">
        <v>248</v>
      </c>
      <c r="C10" s="45" t="s">
        <v>250</v>
      </c>
      <c r="D10" s="11">
        <f>47900+28020</f>
        <v>75920</v>
      </c>
      <c r="E10" s="14">
        <v>0.44</v>
      </c>
      <c r="F10" s="37"/>
      <c r="G10" s="35">
        <f t="shared" si="1"/>
        <v>33404.800000000003</v>
      </c>
      <c r="H10" s="14" t="s">
        <v>251</v>
      </c>
    </row>
    <row r="11" spans="1:8" x14ac:dyDescent="0.25">
      <c r="A11" s="5" t="s">
        <v>98</v>
      </c>
      <c r="B11" s="11" t="s">
        <v>97</v>
      </c>
      <c r="C11" s="6" t="s">
        <v>33</v>
      </c>
      <c r="D11" s="5">
        <v>150</v>
      </c>
      <c r="E11" s="14">
        <v>43.49</v>
      </c>
      <c r="F11" s="34"/>
      <c r="G11" s="33">
        <f t="shared" si="1"/>
        <v>6523.5</v>
      </c>
      <c r="H11" s="14" t="s">
        <v>115</v>
      </c>
    </row>
    <row r="12" spans="1:8" x14ac:dyDescent="0.25">
      <c r="A12" s="5" t="s">
        <v>252</v>
      </c>
      <c r="B12" s="5"/>
      <c r="D12" s="24">
        <v>400000</v>
      </c>
      <c r="E12" s="24">
        <v>4</v>
      </c>
      <c r="F12" s="24"/>
      <c r="G12" s="24">
        <f t="shared" si="1"/>
        <v>1600000</v>
      </c>
      <c r="H12" s="26" t="s">
        <v>258</v>
      </c>
    </row>
    <row r="13" spans="1:8" x14ac:dyDescent="0.25">
      <c r="A13" s="5" t="s">
        <v>253</v>
      </c>
      <c r="B13" s="15"/>
      <c r="C13" s="24"/>
      <c r="D13" s="24">
        <v>20000</v>
      </c>
      <c r="E13" s="9">
        <v>3.2</v>
      </c>
      <c r="F13" s="37"/>
      <c r="G13" s="24">
        <f t="shared" si="1"/>
        <v>64000</v>
      </c>
      <c r="H13" s="26" t="s">
        <v>257</v>
      </c>
    </row>
    <row r="14" spans="1:8" x14ac:dyDescent="0.25">
      <c r="A14" s="5"/>
      <c r="B14" s="5"/>
      <c r="C14" s="5"/>
      <c r="D14" s="5"/>
      <c r="E14" s="13" t="s">
        <v>4</v>
      </c>
      <c r="F14" s="32">
        <f>SUM(F5:F13)</f>
        <v>0</v>
      </c>
      <c r="G14" s="32">
        <f>SUM(G5:G13)</f>
        <v>1819214.7</v>
      </c>
      <c r="H14" s="5"/>
    </row>
    <row r="16" spans="1:8" x14ac:dyDescent="0.25">
      <c r="G16" s="47">
        <f>F14+G14</f>
        <v>1819214.7</v>
      </c>
    </row>
    <row r="19" spans="1:2" x14ac:dyDescent="0.25">
      <c r="A19" s="20" t="s">
        <v>240</v>
      </c>
      <c r="B19" s="23"/>
    </row>
    <row r="20" spans="1:2" x14ac:dyDescent="0.25">
      <c r="A20" s="1" t="s">
        <v>254</v>
      </c>
      <c r="B20" s="23"/>
    </row>
    <row r="21" spans="1:2" x14ac:dyDescent="0.25">
      <c r="A21" s="23" t="s">
        <v>255</v>
      </c>
      <c r="B21" s="23"/>
    </row>
    <row r="22" spans="1:2" x14ac:dyDescent="0.25">
      <c r="A22" s="1" t="s">
        <v>256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2" sqref="G12"/>
    </sheetView>
  </sheetViews>
  <sheetFormatPr defaultRowHeight="15" x14ac:dyDescent="0.25"/>
  <cols>
    <col min="1" max="1" width="33.28515625" bestFit="1" customWidth="1"/>
    <col min="2" max="2" width="31.7109375" bestFit="1" customWidth="1"/>
    <col min="3" max="3" width="32.140625" bestFit="1" customWidth="1"/>
    <col min="5" max="5" width="15.42578125" bestFit="1" customWidth="1"/>
    <col min="7" max="7" width="12.140625" bestFit="1" customWidth="1"/>
    <col min="8" max="8" width="172.28515625" bestFit="1" customWidth="1"/>
  </cols>
  <sheetData>
    <row r="1" spans="1:8" x14ac:dyDescent="0.25">
      <c r="A1" s="5"/>
      <c r="B1" s="5" t="s">
        <v>264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/>
      <c r="B4" s="11"/>
      <c r="C4" s="6"/>
      <c r="D4" s="11"/>
      <c r="E4" s="9"/>
      <c r="F4" s="14"/>
      <c r="G4" s="14"/>
      <c r="H4" s="5"/>
    </row>
    <row r="5" spans="1:8" x14ac:dyDescent="0.25">
      <c r="A5" s="11" t="s">
        <v>245</v>
      </c>
      <c r="B5" s="11" t="s">
        <v>246</v>
      </c>
      <c r="C5" s="45" t="s">
        <v>247</v>
      </c>
      <c r="D5" s="11">
        <v>550</v>
      </c>
      <c r="E5" s="14">
        <v>9.5399999999999991</v>
      </c>
      <c r="F5" s="42"/>
      <c r="G5" s="43">
        <f>D5*E5</f>
        <v>5246.9999999999991</v>
      </c>
      <c r="H5" s="46" t="s">
        <v>259</v>
      </c>
    </row>
    <row r="6" spans="1:8" s="1" customFormat="1" x14ac:dyDescent="0.25">
      <c r="A6" s="5" t="s">
        <v>98</v>
      </c>
      <c r="B6" s="11" t="s">
        <v>97</v>
      </c>
      <c r="C6" s="6" t="s">
        <v>33</v>
      </c>
      <c r="D6" s="5">
        <v>100</v>
      </c>
      <c r="E6" s="14">
        <v>43.49</v>
      </c>
      <c r="F6" s="34"/>
      <c r="G6" s="33">
        <f t="shared" ref="G6" si="0">D6*E6</f>
        <v>4349</v>
      </c>
      <c r="H6" s="14" t="s">
        <v>115</v>
      </c>
    </row>
    <row r="7" spans="1:8" s="1" customFormat="1" x14ac:dyDescent="0.25">
      <c r="A7" s="5" t="s">
        <v>108</v>
      </c>
      <c r="B7" s="5" t="s">
        <v>111</v>
      </c>
      <c r="C7" s="24" t="s">
        <v>112</v>
      </c>
      <c r="D7" s="11">
        <v>500</v>
      </c>
      <c r="E7" s="14">
        <v>11.48</v>
      </c>
      <c r="F7" s="34"/>
      <c r="G7" s="33">
        <f t="shared" ref="G7" si="1">D7*E7</f>
        <v>5740</v>
      </c>
      <c r="H7" s="5" t="s">
        <v>114</v>
      </c>
    </row>
    <row r="8" spans="1:8" x14ac:dyDescent="0.25">
      <c r="A8" s="5" t="s">
        <v>252</v>
      </c>
      <c r="B8" s="5"/>
      <c r="C8" s="1"/>
      <c r="D8" s="24">
        <v>66811</v>
      </c>
      <c r="E8" s="24">
        <v>6</v>
      </c>
      <c r="F8" s="24"/>
      <c r="G8" s="37">
        <f t="shared" ref="G8:G9" si="2">D8*E8</f>
        <v>400866</v>
      </c>
      <c r="H8" s="26" t="s">
        <v>266</v>
      </c>
    </row>
    <row r="9" spans="1:8" s="1" customFormat="1" x14ac:dyDescent="0.25">
      <c r="A9" s="5" t="s">
        <v>265</v>
      </c>
      <c r="B9" s="5"/>
      <c r="D9" s="24">
        <v>67429</v>
      </c>
      <c r="E9" s="24">
        <v>5.3</v>
      </c>
      <c r="F9" s="24"/>
      <c r="G9" s="37">
        <f t="shared" si="2"/>
        <v>357373.7</v>
      </c>
      <c r="H9" s="26" t="s">
        <v>267</v>
      </c>
    </row>
    <row r="10" spans="1:8" x14ac:dyDescent="0.25">
      <c r="A10" s="5"/>
      <c r="B10" s="5"/>
      <c r="C10" s="5"/>
      <c r="D10" s="5"/>
      <c r="E10" s="13" t="s">
        <v>4</v>
      </c>
      <c r="F10" s="32">
        <f>SUM(F5:F8)</f>
        <v>0</v>
      </c>
      <c r="G10" s="32">
        <f>SUM(G5:G9)</f>
        <v>773575.7</v>
      </c>
      <c r="H10" s="5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47">
        <f>F10+G10</f>
        <v>773575.7</v>
      </c>
      <c r="H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G1" workbookViewId="0">
      <selection activeCell="A5" sqref="A5:H5"/>
    </sheetView>
  </sheetViews>
  <sheetFormatPr defaultRowHeight="15" x14ac:dyDescent="0.25"/>
  <cols>
    <col min="1" max="1" width="33.28515625" bestFit="1" customWidth="1"/>
    <col min="2" max="2" width="31.7109375" bestFit="1" customWidth="1"/>
    <col min="3" max="3" width="42.140625" bestFit="1" customWidth="1"/>
    <col min="4" max="4" width="17.85546875" bestFit="1" customWidth="1"/>
    <col min="5" max="5" width="15.42578125" bestFit="1" customWidth="1"/>
    <col min="6" max="6" width="19" bestFit="1" customWidth="1"/>
    <col min="7" max="7" width="12.140625" bestFit="1" customWidth="1"/>
    <col min="8" max="8" width="172.28515625" bestFit="1" customWidth="1"/>
  </cols>
  <sheetData>
    <row r="1" spans="1:8" x14ac:dyDescent="0.25">
      <c r="A1" s="5"/>
      <c r="B1" s="5" t="s">
        <v>268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/>
      <c r="B4" s="11"/>
      <c r="C4" s="6"/>
      <c r="D4" s="11"/>
      <c r="E4" s="9"/>
      <c r="F4" s="14"/>
      <c r="G4" s="14"/>
      <c r="H4" s="5"/>
    </row>
    <row r="5" spans="1:8" x14ac:dyDescent="0.25">
      <c r="A5" s="5" t="s">
        <v>144</v>
      </c>
      <c r="B5" s="11" t="s">
        <v>145</v>
      </c>
      <c r="C5" s="6" t="s">
        <v>146</v>
      </c>
      <c r="D5" s="11">
        <v>500</v>
      </c>
      <c r="E5" s="14">
        <v>12.25</v>
      </c>
      <c r="F5" s="5"/>
      <c r="G5" s="5">
        <f t="shared" ref="G5" si="0">D5*E5</f>
        <v>6125</v>
      </c>
      <c r="H5" s="5" t="s">
        <v>147</v>
      </c>
    </row>
    <row r="6" spans="1:8" x14ac:dyDescent="0.25">
      <c r="A6" s="39" t="s">
        <v>192</v>
      </c>
      <c r="B6" s="40" t="s">
        <v>193</v>
      </c>
      <c r="C6" s="46" t="s">
        <v>194</v>
      </c>
      <c r="D6" s="39">
        <v>240</v>
      </c>
      <c r="E6" s="41">
        <v>5</v>
      </c>
      <c r="F6" s="42"/>
      <c r="G6" s="43">
        <f>D6*E6</f>
        <v>1200</v>
      </c>
      <c r="H6" s="46" t="s">
        <v>195</v>
      </c>
    </row>
    <row r="7" spans="1:8" x14ac:dyDescent="0.25">
      <c r="A7" s="11" t="s">
        <v>269</v>
      </c>
      <c r="B7" s="11" t="s">
        <v>270</v>
      </c>
      <c r="C7" s="11" t="s">
        <v>271</v>
      </c>
      <c r="D7" s="11">
        <f>1175+1175</f>
        <v>2350</v>
      </c>
      <c r="E7" s="14">
        <v>6.31</v>
      </c>
      <c r="F7" s="14"/>
      <c r="G7" s="5">
        <f t="shared" ref="G7" si="1">D7*E7</f>
        <v>14828.499999999998</v>
      </c>
      <c r="H7" s="14" t="s">
        <v>272</v>
      </c>
    </row>
    <row r="8" spans="1:8" x14ac:dyDescent="0.25">
      <c r="A8" s="5" t="s">
        <v>189</v>
      </c>
      <c r="B8" s="15" t="s">
        <v>190</v>
      </c>
      <c r="C8" s="45" t="s">
        <v>171</v>
      </c>
      <c r="D8" s="24">
        <v>860</v>
      </c>
      <c r="E8" s="9">
        <v>6.12</v>
      </c>
      <c r="F8" s="37"/>
      <c r="G8" s="35">
        <f>D8*E8</f>
        <v>5263.2</v>
      </c>
      <c r="H8" s="26" t="s">
        <v>191</v>
      </c>
    </row>
    <row r="9" spans="1:8" x14ac:dyDescent="0.25">
      <c r="A9" s="11" t="s">
        <v>273</v>
      </c>
      <c r="B9" s="11" t="s">
        <v>274</v>
      </c>
      <c r="C9" s="45" t="s">
        <v>275</v>
      </c>
      <c r="D9" s="33">
        <v>200</v>
      </c>
      <c r="E9" s="14">
        <v>101</v>
      </c>
      <c r="F9" s="37"/>
      <c r="G9" s="35">
        <f t="shared" ref="G9" si="2">D9*E9</f>
        <v>20200</v>
      </c>
      <c r="H9" s="14" t="s">
        <v>276</v>
      </c>
    </row>
    <row r="10" spans="1:8" x14ac:dyDescent="0.25">
      <c r="A10" s="11" t="s">
        <v>245</v>
      </c>
      <c r="B10" s="11" t="s">
        <v>248</v>
      </c>
      <c r="C10" s="45" t="s">
        <v>250</v>
      </c>
      <c r="D10" s="11">
        <v>300950</v>
      </c>
      <c r="E10" s="14">
        <v>0.44</v>
      </c>
      <c r="F10" s="37"/>
      <c r="G10" s="35">
        <f t="shared" ref="G10:G12" si="3">D10*E10</f>
        <v>132418</v>
      </c>
      <c r="H10" s="14" t="s">
        <v>251</v>
      </c>
    </row>
    <row r="11" spans="1:8" s="1" customFormat="1" x14ac:dyDescent="0.25">
      <c r="A11" s="5" t="s">
        <v>98</v>
      </c>
      <c r="B11" s="11" t="s">
        <v>97</v>
      </c>
      <c r="C11" s="6" t="s">
        <v>33</v>
      </c>
      <c r="D11" s="5">
        <v>150</v>
      </c>
      <c r="E11" s="14">
        <v>43.49</v>
      </c>
      <c r="F11" s="34"/>
      <c r="G11" s="33">
        <f t="shared" si="3"/>
        <v>6523.5</v>
      </c>
      <c r="H11" s="14" t="s">
        <v>115</v>
      </c>
    </row>
    <row r="12" spans="1:8" x14ac:dyDescent="0.25">
      <c r="A12" s="61">
        <v>42675</v>
      </c>
      <c r="B12" s="5" t="s">
        <v>278</v>
      </c>
      <c r="C12" s="55" t="s">
        <v>117</v>
      </c>
      <c r="D12" s="24">
        <v>67000</v>
      </c>
      <c r="E12" s="24">
        <v>1.4</v>
      </c>
      <c r="F12" s="24"/>
      <c r="G12" s="24">
        <f t="shared" si="3"/>
        <v>93800</v>
      </c>
      <c r="H12" s="15" t="s">
        <v>277</v>
      </c>
    </row>
    <row r="13" spans="1:8" x14ac:dyDescent="0.25">
      <c r="A13" s="5"/>
      <c r="B13" s="5"/>
      <c r="C13" s="5"/>
      <c r="D13" s="5"/>
      <c r="E13" s="13" t="s">
        <v>4</v>
      </c>
      <c r="F13" s="32">
        <f>SUM(F5:F12)</f>
        <v>0</v>
      </c>
      <c r="G13" s="32">
        <f>SUM(G5:G12)</f>
        <v>280358.2</v>
      </c>
      <c r="H13" s="5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47">
        <f>F13+G13</f>
        <v>280358.2</v>
      </c>
      <c r="H15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0" sqref="G10"/>
    </sheetView>
  </sheetViews>
  <sheetFormatPr defaultRowHeight="15" x14ac:dyDescent="0.25"/>
  <cols>
    <col min="1" max="1" width="21.7109375" bestFit="1" customWidth="1"/>
    <col min="2" max="2" width="41.42578125" customWidth="1"/>
    <col min="3" max="3" width="39.42578125" bestFit="1" customWidth="1"/>
    <col min="4" max="4" width="17.85546875" bestFit="1" customWidth="1"/>
    <col min="8" max="8" width="172.28515625" bestFit="1" customWidth="1"/>
  </cols>
  <sheetData>
    <row r="1" spans="1:8" x14ac:dyDescent="0.25">
      <c r="A1" s="5"/>
      <c r="B1" s="5" t="s">
        <v>292</v>
      </c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12"/>
      <c r="G2" s="12"/>
      <c r="H2" s="13" t="s">
        <v>3</v>
      </c>
    </row>
    <row r="3" spans="1:8" x14ac:dyDescent="0.25">
      <c r="A3" s="13" t="s">
        <v>9</v>
      </c>
      <c r="B3" s="13" t="s">
        <v>0</v>
      </c>
      <c r="C3" s="13" t="s">
        <v>1</v>
      </c>
      <c r="D3" s="13" t="s">
        <v>2</v>
      </c>
      <c r="E3" s="13" t="s">
        <v>86</v>
      </c>
      <c r="F3" s="13" t="s">
        <v>103</v>
      </c>
      <c r="G3" s="13" t="s">
        <v>106</v>
      </c>
      <c r="H3" s="5"/>
    </row>
    <row r="4" spans="1:8" x14ac:dyDescent="0.25">
      <c r="A4" s="5" t="s">
        <v>98</v>
      </c>
      <c r="B4" s="11" t="s">
        <v>63</v>
      </c>
      <c r="C4" s="24" t="s">
        <v>102</v>
      </c>
      <c r="D4" s="6">
        <v>99000</v>
      </c>
      <c r="E4" s="14">
        <v>1.1000000000000001</v>
      </c>
      <c r="F4" s="34"/>
      <c r="G4" s="33">
        <f t="shared" ref="G4:G8" si="0">D4*E4</f>
        <v>108900.00000000001</v>
      </c>
      <c r="H4" s="11" t="s">
        <v>105</v>
      </c>
    </row>
    <row r="5" spans="1:8" x14ac:dyDescent="0.25">
      <c r="A5" s="5" t="s">
        <v>301</v>
      </c>
      <c r="B5" s="5" t="s">
        <v>294</v>
      </c>
      <c r="C5" s="5" t="s">
        <v>112</v>
      </c>
      <c r="D5" s="5">
        <f>100+150</f>
        <v>250</v>
      </c>
      <c r="E5" s="5">
        <v>11.48</v>
      </c>
      <c r="F5" s="5"/>
      <c r="G5" s="33">
        <f t="shared" si="0"/>
        <v>2870</v>
      </c>
      <c r="H5" s="5" t="s">
        <v>304</v>
      </c>
    </row>
    <row r="6" spans="1:8" s="1" customFormat="1" x14ac:dyDescent="0.25">
      <c r="A6" s="5" t="s">
        <v>302</v>
      </c>
      <c r="B6" s="5" t="s">
        <v>294</v>
      </c>
      <c r="C6" s="5" t="s">
        <v>112</v>
      </c>
      <c r="D6" s="5">
        <f>100+150</f>
        <v>250</v>
      </c>
      <c r="E6" s="5">
        <v>22.95</v>
      </c>
      <c r="F6" s="5"/>
      <c r="G6" s="33">
        <f t="shared" si="0"/>
        <v>5737.5</v>
      </c>
      <c r="H6" s="5" t="s">
        <v>305</v>
      </c>
    </row>
    <row r="7" spans="1:8" x14ac:dyDescent="0.25">
      <c r="A7" s="5" t="s">
        <v>293</v>
      </c>
      <c r="B7" s="5" t="s">
        <v>212</v>
      </c>
      <c r="C7" s="5" t="s">
        <v>176</v>
      </c>
      <c r="D7" s="5">
        <v>3840</v>
      </c>
      <c r="E7" s="5">
        <v>7.13</v>
      </c>
      <c r="F7" s="5"/>
      <c r="G7" s="33">
        <f t="shared" si="0"/>
        <v>27379.200000000001</v>
      </c>
      <c r="H7" s="5" t="s">
        <v>295</v>
      </c>
    </row>
    <row r="8" spans="1:8" x14ac:dyDescent="0.25">
      <c r="A8" s="5" t="s">
        <v>293</v>
      </c>
      <c r="B8" s="5" t="s">
        <v>274</v>
      </c>
      <c r="C8" s="5" t="s">
        <v>168</v>
      </c>
      <c r="D8" s="5">
        <v>1280</v>
      </c>
      <c r="E8" s="5">
        <v>5.12</v>
      </c>
      <c r="F8" s="5"/>
      <c r="G8" s="33">
        <f t="shared" si="0"/>
        <v>6553.6</v>
      </c>
      <c r="H8" s="5" t="s">
        <v>296</v>
      </c>
    </row>
    <row r="10" spans="1:8" x14ac:dyDescent="0.25">
      <c r="F10" t="s">
        <v>4</v>
      </c>
      <c r="G10" s="62">
        <f>SUM(G4:G9)</f>
        <v>151440.30000000002</v>
      </c>
    </row>
    <row r="13" spans="1:8" x14ac:dyDescent="0.25">
      <c r="B13" t="s">
        <v>240</v>
      </c>
    </row>
    <row r="14" spans="1:8" x14ac:dyDescent="0.25">
      <c r="B14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Apr 16</vt:lpstr>
      <vt:lpstr>May 16</vt:lpstr>
      <vt:lpstr>Jun 16</vt:lpstr>
      <vt:lpstr>Jul 16</vt:lpstr>
      <vt:lpstr>Aug 16</vt:lpstr>
      <vt:lpstr>sep 16</vt:lpstr>
      <vt:lpstr>Oct 16</vt:lpstr>
      <vt:lpstr>Nov 16</vt:lpstr>
      <vt:lpstr>Dec 16</vt:lpstr>
      <vt:lpstr>Jan 17</vt:lpstr>
      <vt:lpstr>Feb 17</vt:lpstr>
      <vt:lpstr>Mar 17</vt:lpstr>
      <vt:lpstr>Bkup</vt:lpstr>
      <vt:lpstr>Landed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Sanjib Chakraborty</cp:lastModifiedBy>
  <cp:lastPrinted>2016-01-06T12:47:09Z</cp:lastPrinted>
  <dcterms:created xsi:type="dcterms:W3CDTF">2014-07-09T08:45:08Z</dcterms:created>
  <dcterms:modified xsi:type="dcterms:W3CDTF">2017-04-11T11:25:15Z</dcterms:modified>
</cp:coreProperties>
</file>